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tabRatio="660" activeTab="1"/>
  </bookViews>
  <sheets>
    <sheet name="Baross" sheetId="1" r:id="rId1"/>
    <sheet name="Alsóerdősor" sheetId="2" r:id="rId2"/>
    <sheet name="Erzsébetváros" sheetId="3" r:id="rId3"/>
    <sheet name="Janikovszky" sheetId="4" r:id="rId4"/>
    <sheet name="Magyar-angol" sheetId="5" r:id="rId5"/>
    <sheet name="ERISZ1" sheetId="7" r:id="rId6"/>
    <sheet name="ERISZ+SZOGYESZ" sheetId="8" r:id="rId7"/>
    <sheet name="SZOGYESZ+ERESZ+ERISZ" sheetId="9" r:id="rId8"/>
  </sheets>
  <definedNames>
    <definedName name="_xlnm.Print_Titles" localSheetId="1">Alsóerdősor!$A:$B</definedName>
    <definedName name="_xlnm.Print_Titles" localSheetId="0">Baross!$A:$B</definedName>
    <definedName name="_xlnm.Print_Titles" localSheetId="2">Erzsébetváros!$A:$B</definedName>
    <definedName name="_xlnm.Print_Titles" localSheetId="3">Janikovszky!$A:$B</definedName>
    <definedName name="_xlnm.Print_Titles" localSheetId="4">'Magyar-angol'!$A:$B</definedName>
    <definedName name="_xlnm.Print_Area" localSheetId="1">Alsóerdősor!$A$1:$N$66</definedName>
    <definedName name="_xlnm.Print_Area" localSheetId="0">Baross!$A$1:$N$66</definedName>
    <definedName name="_xlnm.Print_Area" localSheetId="6">'ERISZ+SZOGYESZ'!$A$1:$N$64</definedName>
    <definedName name="_xlnm.Print_Area" localSheetId="5">ERISZ1!$A$1:$T$64</definedName>
    <definedName name="_xlnm.Print_Area" localSheetId="2">Erzsébetváros!$A$1:$N$64</definedName>
    <definedName name="_xlnm.Print_Area" localSheetId="3">Janikovszky!$A$1:$N$64</definedName>
    <definedName name="_xlnm.Print_Area" localSheetId="4">'Magyar-angol'!$A$1:$N$64</definedName>
    <definedName name="_xlnm.Print_Area" localSheetId="7">'SZOGYESZ+ERESZ+ERISZ'!$A$1:$K$64</definedName>
  </definedNames>
  <calcPr calcId="125725"/>
</workbook>
</file>

<file path=xl/calcChain.xml><?xml version="1.0" encoding="utf-8"?>
<calcChain xmlns="http://schemas.openxmlformats.org/spreadsheetml/2006/main">
  <c r="G48" i="2"/>
  <c r="G15"/>
  <c r="D48"/>
  <c r="D15"/>
  <c r="G46" i="4"/>
  <c r="G12"/>
  <c r="G14" i="2"/>
  <c r="G13"/>
  <c r="D16"/>
  <c r="J48" i="1"/>
  <c r="J14"/>
  <c r="J13"/>
  <c r="G14"/>
  <c r="G48"/>
  <c r="D15"/>
  <c r="D14"/>
  <c r="D48"/>
  <c r="J46" i="4"/>
  <c r="D14"/>
  <c r="D13"/>
  <c r="D46"/>
  <c r="G15" i="1"/>
  <c r="D43" i="4"/>
  <c r="C45" i="2" l="1"/>
  <c r="D45"/>
  <c r="D29"/>
  <c r="G29"/>
  <c r="J48"/>
  <c r="G50" i="9"/>
  <c r="G13" i="4"/>
  <c r="D12"/>
  <c r="D11"/>
  <c r="J13" l="1"/>
  <c r="J11"/>
  <c r="D14" i="2"/>
  <c r="D13"/>
  <c r="G12" i="7"/>
  <c r="G11"/>
  <c r="G14" i="9"/>
  <c r="G12"/>
  <c r="G11"/>
  <c r="G49"/>
  <c r="D45" i="1"/>
  <c r="G13"/>
  <c r="D13"/>
  <c r="D27" i="4"/>
  <c r="J13" i="2"/>
  <c r="J14"/>
  <c r="J13" i="5"/>
  <c r="G13"/>
  <c r="D27"/>
  <c r="D13"/>
  <c r="D12"/>
  <c r="D11"/>
  <c r="J12"/>
  <c r="J11"/>
  <c r="D46"/>
  <c r="G13" i="3"/>
  <c r="J13"/>
  <c r="D13"/>
  <c r="D43"/>
  <c r="G27"/>
  <c r="J11"/>
  <c r="D27"/>
  <c r="D11"/>
  <c r="J46"/>
  <c r="D46"/>
  <c r="G13" i="9"/>
  <c r="J46" i="5"/>
  <c r="D12" i="3"/>
  <c r="F50" i="9"/>
  <c r="F49"/>
  <c r="F46"/>
  <c r="F14"/>
  <c r="F13"/>
  <c r="F12"/>
  <c r="F11"/>
  <c r="I46" i="8"/>
  <c r="I14"/>
  <c r="I13"/>
  <c r="I11"/>
  <c r="F46"/>
  <c r="F14"/>
  <c r="F13"/>
  <c r="F12"/>
  <c r="F11"/>
  <c r="C46"/>
  <c r="C14"/>
  <c r="C13"/>
  <c r="C11"/>
  <c r="I46" i="7"/>
  <c r="I14"/>
  <c r="I11"/>
  <c r="F50"/>
  <c r="F49"/>
  <c r="F47"/>
  <c r="F46"/>
  <c r="F29"/>
  <c r="F14"/>
  <c r="F13"/>
  <c r="F12"/>
  <c r="F11"/>
  <c r="C46"/>
  <c r="C14"/>
  <c r="C13"/>
  <c r="C11"/>
  <c r="I46" i="5"/>
  <c r="I12"/>
  <c r="I11"/>
  <c r="F46"/>
  <c r="F13"/>
  <c r="F12"/>
  <c r="F11"/>
  <c r="C47"/>
  <c r="C46"/>
  <c r="C29"/>
  <c r="C27"/>
  <c r="C13"/>
  <c r="C12"/>
  <c r="C11"/>
  <c r="I46" i="4"/>
  <c r="I13"/>
  <c r="F46"/>
  <c r="F12"/>
  <c r="F11"/>
  <c r="C64"/>
  <c r="C47"/>
  <c r="C46"/>
  <c r="C29"/>
  <c r="C13"/>
  <c r="C12"/>
  <c r="C11"/>
  <c r="I47" i="3"/>
  <c r="I46"/>
  <c r="I29"/>
  <c r="I13"/>
  <c r="F46"/>
  <c r="F43"/>
  <c r="F13"/>
  <c r="F12"/>
  <c r="F11"/>
  <c r="C64"/>
  <c r="C49"/>
  <c r="C47"/>
  <c r="C46"/>
  <c r="C29"/>
  <c r="C27"/>
  <c r="C13"/>
  <c r="C12"/>
  <c r="C11"/>
  <c r="I48" i="2"/>
  <c r="I15"/>
  <c r="I13"/>
  <c r="F49"/>
  <c r="F48"/>
  <c r="F15"/>
  <c r="F14"/>
  <c r="F13"/>
  <c r="C49"/>
  <c r="C48"/>
  <c r="C31"/>
  <c r="C30"/>
  <c r="C15"/>
  <c r="C14"/>
  <c r="C13"/>
  <c r="I48" i="1"/>
  <c r="I15"/>
  <c r="I14"/>
  <c r="I13"/>
  <c r="F48"/>
  <c r="F15"/>
  <c r="F14"/>
  <c r="F13"/>
  <c r="C48"/>
  <c r="C29"/>
  <c r="C15"/>
  <c r="C14"/>
  <c r="C13"/>
  <c r="I45" l="1"/>
  <c r="F45"/>
  <c r="C45"/>
  <c r="C12" i="8"/>
  <c r="I43" i="5"/>
  <c r="I13"/>
  <c r="C43"/>
  <c r="C28"/>
  <c r="C14"/>
  <c r="I12" i="4"/>
  <c r="I11"/>
  <c r="F13"/>
  <c r="I43" i="3"/>
  <c r="L46" i="8"/>
  <c r="L12"/>
  <c r="L11"/>
  <c r="I12"/>
  <c r="I12" i="7"/>
  <c r="C12"/>
  <c r="F47" i="4"/>
  <c r="F28"/>
  <c r="I12" i="3"/>
  <c r="I11"/>
  <c r="I14" i="2"/>
  <c r="C22"/>
  <c r="C18"/>
  <c r="S12" i="7"/>
  <c r="S13"/>
  <c r="S14"/>
  <c r="S16"/>
  <c r="S18"/>
  <c r="S19"/>
  <c r="S20"/>
  <c r="S21"/>
  <c r="S22"/>
  <c r="S24"/>
  <c r="S25"/>
  <c r="S26"/>
  <c r="S27"/>
  <c r="S28"/>
  <c r="S29"/>
  <c r="S30"/>
  <c r="S32"/>
  <c r="S33"/>
  <c r="S34"/>
  <c r="S35"/>
  <c r="S37"/>
  <c r="S38"/>
  <c r="S39"/>
  <c r="S43"/>
  <c r="S44"/>
  <c r="S45"/>
  <c r="S46"/>
  <c r="S47"/>
  <c r="S48"/>
  <c r="S49"/>
  <c r="S50"/>
  <c r="S51"/>
  <c r="S52"/>
  <c r="S53"/>
  <c r="S55"/>
  <c r="S57"/>
  <c r="S58"/>
  <c r="S59"/>
  <c r="S60"/>
  <c r="S64"/>
  <c r="R12"/>
  <c r="R14"/>
  <c r="R18"/>
  <c r="R19"/>
  <c r="R20"/>
  <c r="R21"/>
  <c r="R22"/>
  <c r="R24"/>
  <c r="R25"/>
  <c r="R26"/>
  <c r="R27"/>
  <c r="R28"/>
  <c r="R29"/>
  <c r="R30"/>
  <c r="R32"/>
  <c r="R33"/>
  <c r="R34"/>
  <c r="R35"/>
  <c r="R37"/>
  <c r="R38"/>
  <c r="R39"/>
  <c r="R43"/>
  <c r="R44"/>
  <c r="R45"/>
  <c r="R46"/>
  <c r="R47"/>
  <c r="R48"/>
  <c r="R49"/>
  <c r="R50"/>
  <c r="R51"/>
  <c r="R52"/>
  <c r="R53"/>
  <c r="R55"/>
  <c r="R57"/>
  <c r="R58"/>
  <c r="R59"/>
  <c r="R60"/>
  <c r="R64"/>
  <c r="L13" i="8"/>
  <c r="I13" i="7"/>
  <c r="R13" s="1"/>
  <c r="F16"/>
  <c r="C16"/>
  <c r="R16" s="1"/>
  <c r="I16" i="5"/>
  <c r="F16"/>
  <c r="C16"/>
  <c r="F16" i="3"/>
  <c r="C16"/>
  <c r="I18" i="1"/>
  <c r="F18"/>
  <c r="C18"/>
  <c r="C16" i="4"/>
  <c r="L57"/>
  <c r="M57"/>
  <c r="L59" i="1"/>
  <c r="M59"/>
  <c r="L59" i="2"/>
  <c r="M59"/>
  <c r="H12" i="9"/>
  <c r="H13"/>
  <c r="H14"/>
  <c r="H16"/>
  <c r="H18"/>
  <c r="H19"/>
  <c r="H20"/>
  <c r="H21"/>
  <c r="H22"/>
  <c r="H24"/>
  <c r="H25"/>
  <c r="H26"/>
  <c r="H27"/>
  <c r="H28"/>
  <c r="H29"/>
  <c r="H30"/>
  <c r="H32"/>
  <c r="H33"/>
  <c r="H34"/>
  <c r="H35"/>
  <c r="H37"/>
  <c r="H38"/>
  <c r="H39"/>
  <c r="H43"/>
  <c r="H44"/>
  <c r="H45"/>
  <c r="H46"/>
  <c r="H47"/>
  <c r="H48"/>
  <c r="H49"/>
  <c r="H50"/>
  <c r="H51"/>
  <c r="H52"/>
  <c r="H53"/>
  <c r="H55"/>
  <c r="H57"/>
  <c r="H58"/>
  <c r="H59"/>
  <c r="H60"/>
  <c r="H64"/>
  <c r="H11"/>
  <c r="N12" i="8"/>
  <c r="N13"/>
  <c r="N14"/>
  <c r="N16"/>
  <c r="N18"/>
  <c r="N19"/>
  <c r="N20"/>
  <c r="N21"/>
  <c r="N22"/>
  <c r="N24"/>
  <c r="N25"/>
  <c r="N26"/>
  <c r="N27"/>
  <c r="N28"/>
  <c r="N29"/>
  <c r="N30"/>
  <c r="N32"/>
  <c r="N33"/>
  <c r="N34"/>
  <c r="N35"/>
  <c r="N37"/>
  <c r="N38"/>
  <c r="N39"/>
  <c r="N43"/>
  <c r="N44"/>
  <c r="N45"/>
  <c r="N46"/>
  <c r="N47"/>
  <c r="N48"/>
  <c r="N49"/>
  <c r="N50"/>
  <c r="N51"/>
  <c r="N52"/>
  <c r="N53"/>
  <c r="N55"/>
  <c r="N57"/>
  <c r="N58"/>
  <c r="N59"/>
  <c r="N60"/>
  <c r="N64"/>
  <c r="N11"/>
  <c r="K12"/>
  <c r="K13"/>
  <c r="K14"/>
  <c r="K16"/>
  <c r="K18"/>
  <c r="K19"/>
  <c r="K20"/>
  <c r="K21"/>
  <c r="K22"/>
  <c r="K24"/>
  <c r="K25"/>
  <c r="K26"/>
  <c r="K27"/>
  <c r="K28"/>
  <c r="K29"/>
  <c r="K30"/>
  <c r="K32"/>
  <c r="K33"/>
  <c r="K34"/>
  <c r="K35"/>
  <c r="K37"/>
  <c r="K38"/>
  <c r="K39"/>
  <c r="K43"/>
  <c r="K44"/>
  <c r="K45"/>
  <c r="K46"/>
  <c r="K47"/>
  <c r="K48"/>
  <c r="K49"/>
  <c r="K50"/>
  <c r="K51"/>
  <c r="K52"/>
  <c r="K53"/>
  <c r="K55"/>
  <c r="K57"/>
  <c r="K58"/>
  <c r="K59"/>
  <c r="K60"/>
  <c r="K64"/>
  <c r="K11"/>
  <c r="H12"/>
  <c r="H13"/>
  <c r="H14"/>
  <c r="H16"/>
  <c r="H18"/>
  <c r="H19"/>
  <c r="H20"/>
  <c r="H21"/>
  <c r="H22"/>
  <c r="H24"/>
  <c r="H25"/>
  <c r="H26"/>
  <c r="H27"/>
  <c r="H28"/>
  <c r="H29"/>
  <c r="H30"/>
  <c r="H32"/>
  <c r="H33"/>
  <c r="H34"/>
  <c r="H35"/>
  <c r="H37"/>
  <c r="H38"/>
  <c r="H39"/>
  <c r="H43"/>
  <c r="H44"/>
  <c r="H45"/>
  <c r="H46"/>
  <c r="H47"/>
  <c r="H48"/>
  <c r="H49"/>
  <c r="H50"/>
  <c r="H51"/>
  <c r="H52"/>
  <c r="H53"/>
  <c r="H55"/>
  <c r="H57"/>
  <c r="H58"/>
  <c r="H59"/>
  <c r="H60"/>
  <c r="H64"/>
  <c r="H11"/>
  <c r="E12"/>
  <c r="E13"/>
  <c r="E14"/>
  <c r="E14" i="9" s="1"/>
  <c r="E16" i="8"/>
  <c r="E16" i="9" s="1"/>
  <c r="E18" i="8"/>
  <c r="E18" i="9" s="1"/>
  <c r="E19" i="8"/>
  <c r="E19" i="9" s="1"/>
  <c r="E20" i="8"/>
  <c r="E21"/>
  <c r="E21" i="9" s="1"/>
  <c r="E22" i="8"/>
  <c r="E22" i="9" s="1"/>
  <c r="E24" i="8"/>
  <c r="E24" i="9" s="1"/>
  <c r="E25" i="8"/>
  <c r="E25" i="9" s="1"/>
  <c r="E26" i="8"/>
  <c r="E26" i="9" s="1"/>
  <c r="E27" i="8"/>
  <c r="E27" i="9" s="1"/>
  <c r="E28" i="8"/>
  <c r="E28" i="9" s="1"/>
  <c r="E29" i="8"/>
  <c r="E30"/>
  <c r="E30" i="9" s="1"/>
  <c r="E32" i="8"/>
  <c r="E32" i="9" s="1"/>
  <c r="E33" i="8"/>
  <c r="E33" i="9" s="1"/>
  <c r="E34" i="8"/>
  <c r="E34" i="9" s="1"/>
  <c r="E35" i="8"/>
  <c r="E35" i="9" s="1"/>
  <c r="E37" i="8"/>
  <c r="E37" i="9" s="1"/>
  <c r="E38" i="8"/>
  <c r="E38" i="9" s="1"/>
  <c r="E39" i="8"/>
  <c r="E39" i="9" s="1"/>
  <c r="E43" i="8"/>
  <c r="E43" i="9" s="1"/>
  <c r="E44" i="8"/>
  <c r="E44" i="9" s="1"/>
  <c r="E45" i="8"/>
  <c r="E45" i="9" s="1"/>
  <c r="E46" i="8"/>
  <c r="E47"/>
  <c r="E47" i="9" s="1"/>
  <c r="E48" i="8"/>
  <c r="E48" i="9" s="1"/>
  <c r="E49" i="8"/>
  <c r="E49" i="9" s="1"/>
  <c r="E50" i="8"/>
  <c r="E50" i="9" s="1"/>
  <c r="E51" i="8"/>
  <c r="E51" i="9" s="1"/>
  <c r="E52" i="8"/>
  <c r="E52" i="9" s="1"/>
  <c r="E53" i="8"/>
  <c r="E53" i="9" s="1"/>
  <c r="E55" i="8"/>
  <c r="E55" i="9" s="1"/>
  <c r="E57" i="8"/>
  <c r="E58"/>
  <c r="E58" i="9" s="1"/>
  <c r="E59" i="8"/>
  <c r="E59" i="9" s="1"/>
  <c r="E60" i="8"/>
  <c r="E60" i="9" s="1"/>
  <c r="E64" i="8"/>
  <c r="E64" i="9" s="1"/>
  <c r="E11" i="8"/>
  <c r="K12" i="7"/>
  <c r="K13"/>
  <c r="K14"/>
  <c r="K16"/>
  <c r="K18"/>
  <c r="K19"/>
  <c r="K20"/>
  <c r="K21"/>
  <c r="K22"/>
  <c r="K24"/>
  <c r="K25"/>
  <c r="K26"/>
  <c r="K27"/>
  <c r="K28"/>
  <c r="K29"/>
  <c r="K30"/>
  <c r="K32"/>
  <c r="K33"/>
  <c r="K34"/>
  <c r="K35"/>
  <c r="K37"/>
  <c r="K38"/>
  <c r="K39"/>
  <c r="K43"/>
  <c r="K44"/>
  <c r="K45"/>
  <c r="K46"/>
  <c r="K47"/>
  <c r="K48"/>
  <c r="K49"/>
  <c r="K50"/>
  <c r="K51"/>
  <c r="K52"/>
  <c r="K53"/>
  <c r="K55"/>
  <c r="K57"/>
  <c r="K58"/>
  <c r="K59"/>
  <c r="K60"/>
  <c r="K64"/>
  <c r="K11"/>
  <c r="H12"/>
  <c r="H13"/>
  <c r="H14"/>
  <c r="H16"/>
  <c r="H18"/>
  <c r="H19"/>
  <c r="H20"/>
  <c r="H21"/>
  <c r="H22"/>
  <c r="H24"/>
  <c r="H25"/>
  <c r="H26"/>
  <c r="H27"/>
  <c r="H28"/>
  <c r="H29"/>
  <c r="H30"/>
  <c r="H32"/>
  <c r="H33"/>
  <c r="H34"/>
  <c r="H35"/>
  <c r="H37"/>
  <c r="H38"/>
  <c r="H39"/>
  <c r="H43"/>
  <c r="H44"/>
  <c r="H45"/>
  <c r="H46"/>
  <c r="H47"/>
  <c r="H48"/>
  <c r="H49"/>
  <c r="H50"/>
  <c r="H51"/>
  <c r="H52"/>
  <c r="H53"/>
  <c r="H55"/>
  <c r="H57"/>
  <c r="H58"/>
  <c r="H59"/>
  <c r="H60"/>
  <c r="H64"/>
  <c r="H11"/>
  <c r="E12"/>
  <c r="T12" s="1"/>
  <c r="E13"/>
  <c r="T13" s="1"/>
  <c r="E14"/>
  <c r="T14" s="1"/>
  <c r="E16"/>
  <c r="T16" s="1"/>
  <c r="E18"/>
  <c r="T18" s="1"/>
  <c r="E19"/>
  <c r="T19" s="1"/>
  <c r="E20"/>
  <c r="T20" s="1"/>
  <c r="E21"/>
  <c r="T21" s="1"/>
  <c r="E22"/>
  <c r="T22" s="1"/>
  <c r="E24"/>
  <c r="T24" s="1"/>
  <c r="E25"/>
  <c r="T25" s="1"/>
  <c r="E26"/>
  <c r="T26" s="1"/>
  <c r="E27"/>
  <c r="T27" s="1"/>
  <c r="E28"/>
  <c r="T28" s="1"/>
  <c r="E29"/>
  <c r="E30"/>
  <c r="E32"/>
  <c r="T32" s="1"/>
  <c r="E33"/>
  <c r="T33" s="1"/>
  <c r="E34"/>
  <c r="T34" s="1"/>
  <c r="E35"/>
  <c r="T35" s="1"/>
  <c r="E37"/>
  <c r="T37" s="1"/>
  <c r="E38"/>
  <c r="T38" s="1"/>
  <c r="E39"/>
  <c r="T39" s="1"/>
  <c r="E43"/>
  <c r="T43" s="1"/>
  <c r="E44"/>
  <c r="T44" s="1"/>
  <c r="E45"/>
  <c r="T45" s="1"/>
  <c r="E46"/>
  <c r="T46" s="1"/>
  <c r="E47"/>
  <c r="E48"/>
  <c r="T48" s="1"/>
  <c r="E49"/>
  <c r="T49" s="1"/>
  <c r="E50"/>
  <c r="T50" s="1"/>
  <c r="E51"/>
  <c r="T51" s="1"/>
  <c r="E52"/>
  <c r="T52" s="1"/>
  <c r="E53"/>
  <c r="T53" s="1"/>
  <c r="E55"/>
  <c r="T55" s="1"/>
  <c r="E57"/>
  <c r="T57" s="1"/>
  <c r="E58"/>
  <c r="T58" s="1"/>
  <c r="E59"/>
  <c r="T59" s="1"/>
  <c r="E60"/>
  <c r="T60" s="1"/>
  <c r="E64"/>
  <c r="T64" s="1"/>
  <c r="E11"/>
  <c r="K12" i="5"/>
  <c r="K13"/>
  <c r="K14"/>
  <c r="K16"/>
  <c r="K18"/>
  <c r="K19"/>
  <c r="K20"/>
  <c r="K21"/>
  <c r="K22"/>
  <c r="K24"/>
  <c r="K25"/>
  <c r="K26"/>
  <c r="K27"/>
  <c r="K28"/>
  <c r="K29"/>
  <c r="K30"/>
  <c r="K32"/>
  <c r="K33"/>
  <c r="K34"/>
  <c r="K35"/>
  <c r="K37"/>
  <c r="K38"/>
  <c r="K39"/>
  <c r="K43"/>
  <c r="K44"/>
  <c r="K45"/>
  <c r="K46"/>
  <c r="K47"/>
  <c r="K48"/>
  <c r="K49"/>
  <c r="K50"/>
  <c r="K51"/>
  <c r="K52"/>
  <c r="K53"/>
  <c r="K55"/>
  <c r="K57"/>
  <c r="K58"/>
  <c r="K59"/>
  <c r="K60"/>
  <c r="K64"/>
  <c r="K11"/>
  <c r="H12"/>
  <c r="H13"/>
  <c r="H14"/>
  <c r="H16"/>
  <c r="H18"/>
  <c r="H19"/>
  <c r="H20"/>
  <c r="H21"/>
  <c r="H22"/>
  <c r="H24"/>
  <c r="H25"/>
  <c r="H26"/>
  <c r="H27"/>
  <c r="H28"/>
  <c r="H29"/>
  <c r="H30"/>
  <c r="H32"/>
  <c r="H33"/>
  <c r="H34"/>
  <c r="H35"/>
  <c r="H37"/>
  <c r="H38"/>
  <c r="H39"/>
  <c r="H43"/>
  <c r="H44"/>
  <c r="H45"/>
  <c r="H46"/>
  <c r="H47"/>
  <c r="H48"/>
  <c r="H49"/>
  <c r="H50"/>
  <c r="H51"/>
  <c r="H52"/>
  <c r="H53"/>
  <c r="H55"/>
  <c r="H57"/>
  <c r="H58"/>
  <c r="H59"/>
  <c r="H60"/>
  <c r="H64"/>
  <c r="H11"/>
  <c r="E12"/>
  <c r="N12" s="1"/>
  <c r="E13"/>
  <c r="N13" s="1"/>
  <c r="E14"/>
  <c r="N14" s="1"/>
  <c r="E16"/>
  <c r="N16" s="1"/>
  <c r="E18"/>
  <c r="N18" s="1"/>
  <c r="E19"/>
  <c r="N19" s="1"/>
  <c r="E20"/>
  <c r="N20" s="1"/>
  <c r="E21"/>
  <c r="N21" s="1"/>
  <c r="E22"/>
  <c r="N22" s="1"/>
  <c r="E24"/>
  <c r="N24" s="1"/>
  <c r="E25"/>
  <c r="N25" s="1"/>
  <c r="E26"/>
  <c r="N26" s="1"/>
  <c r="E27"/>
  <c r="N27" s="1"/>
  <c r="E28"/>
  <c r="N28" s="1"/>
  <c r="E29"/>
  <c r="N29" s="1"/>
  <c r="E30"/>
  <c r="N30" s="1"/>
  <c r="E32"/>
  <c r="N32" s="1"/>
  <c r="E33"/>
  <c r="N33" s="1"/>
  <c r="E34"/>
  <c r="N34" s="1"/>
  <c r="E35"/>
  <c r="N35" s="1"/>
  <c r="E37"/>
  <c r="N37" s="1"/>
  <c r="E38"/>
  <c r="N38" s="1"/>
  <c r="E39"/>
  <c r="N39" s="1"/>
  <c r="E43"/>
  <c r="N43" s="1"/>
  <c r="E44"/>
  <c r="N44" s="1"/>
  <c r="E45"/>
  <c r="N45" s="1"/>
  <c r="E46"/>
  <c r="N46" s="1"/>
  <c r="E47"/>
  <c r="N47" s="1"/>
  <c r="E48"/>
  <c r="N48" s="1"/>
  <c r="E49"/>
  <c r="N49" s="1"/>
  <c r="E50"/>
  <c r="N50" s="1"/>
  <c r="E51"/>
  <c r="N51" s="1"/>
  <c r="E52"/>
  <c r="N52" s="1"/>
  <c r="E53"/>
  <c r="N53" s="1"/>
  <c r="E55"/>
  <c r="N55" s="1"/>
  <c r="E57"/>
  <c r="N57" s="1"/>
  <c r="E58"/>
  <c r="N58" s="1"/>
  <c r="E59"/>
  <c r="N59" s="1"/>
  <c r="E60"/>
  <c r="N60" s="1"/>
  <c r="E64"/>
  <c r="N64" s="1"/>
  <c r="E11"/>
  <c r="N11" s="1"/>
  <c r="K12" i="4"/>
  <c r="K13"/>
  <c r="K14"/>
  <c r="K16"/>
  <c r="K18"/>
  <c r="K19"/>
  <c r="K20"/>
  <c r="K21"/>
  <c r="K22"/>
  <c r="K24"/>
  <c r="K25"/>
  <c r="K26"/>
  <c r="K27"/>
  <c r="K28"/>
  <c r="K29"/>
  <c r="K30"/>
  <c r="K32"/>
  <c r="K33"/>
  <c r="K34"/>
  <c r="K35"/>
  <c r="K37"/>
  <c r="K38"/>
  <c r="K39"/>
  <c r="K43"/>
  <c r="K44"/>
  <c r="K45"/>
  <c r="K46"/>
  <c r="K47"/>
  <c r="K48"/>
  <c r="K49"/>
  <c r="K50"/>
  <c r="K51"/>
  <c r="K52"/>
  <c r="K53"/>
  <c r="K55"/>
  <c r="K57"/>
  <c r="K58"/>
  <c r="K59"/>
  <c r="K60"/>
  <c r="K64"/>
  <c r="K11"/>
  <c r="H12"/>
  <c r="H13"/>
  <c r="H14"/>
  <c r="H16"/>
  <c r="H18"/>
  <c r="H19"/>
  <c r="H20"/>
  <c r="H21"/>
  <c r="H22"/>
  <c r="H24"/>
  <c r="H25"/>
  <c r="H26"/>
  <c r="H27"/>
  <c r="H28"/>
  <c r="H29"/>
  <c r="H30"/>
  <c r="H32"/>
  <c r="H33"/>
  <c r="H34"/>
  <c r="H35"/>
  <c r="H37"/>
  <c r="H38"/>
  <c r="H39"/>
  <c r="H43"/>
  <c r="H44"/>
  <c r="H45"/>
  <c r="H46"/>
  <c r="H47"/>
  <c r="H48"/>
  <c r="H49"/>
  <c r="H50"/>
  <c r="H51"/>
  <c r="H52"/>
  <c r="H53"/>
  <c r="H55"/>
  <c r="H57"/>
  <c r="H58"/>
  <c r="H59"/>
  <c r="H60"/>
  <c r="H64"/>
  <c r="H11"/>
  <c r="E12"/>
  <c r="N12" s="1"/>
  <c r="E13"/>
  <c r="N13" s="1"/>
  <c r="E14"/>
  <c r="N14" s="1"/>
  <c r="E16"/>
  <c r="N16" s="1"/>
  <c r="E18"/>
  <c r="N18" s="1"/>
  <c r="E19"/>
  <c r="N19" s="1"/>
  <c r="E20"/>
  <c r="N20" s="1"/>
  <c r="E21"/>
  <c r="N21" s="1"/>
  <c r="E22"/>
  <c r="N22" s="1"/>
  <c r="E24"/>
  <c r="N24" s="1"/>
  <c r="E25"/>
  <c r="N25" s="1"/>
  <c r="E26"/>
  <c r="N26" s="1"/>
  <c r="E27"/>
  <c r="N27" s="1"/>
  <c r="E28"/>
  <c r="E29"/>
  <c r="N29" s="1"/>
  <c r="E30"/>
  <c r="N30" s="1"/>
  <c r="E32"/>
  <c r="N32" s="1"/>
  <c r="E33"/>
  <c r="N33" s="1"/>
  <c r="E34"/>
  <c r="N34" s="1"/>
  <c r="E35"/>
  <c r="N35" s="1"/>
  <c r="E37"/>
  <c r="N37" s="1"/>
  <c r="E38"/>
  <c r="N38" s="1"/>
  <c r="E39"/>
  <c r="N39" s="1"/>
  <c r="E43"/>
  <c r="N43" s="1"/>
  <c r="E44"/>
  <c r="N44" s="1"/>
  <c r="E45"/>
  <c r="N45" s="1"/>
  <c r="E46"/>
  <c r="N46" s="1"/>
  <c r="E47"/>
  <c r="E48"/>
  <c r="E49"/>
  <c r="N49" s="1"/>
  <c r="E50"/>
  <c r="N50" s="1"/>
  <c r="E51"/>
  <c r="N51" s="1"/>
  <c r="E52"/>
  <c r="N52" s="1"/>
  <c r="E53"/>
  <c r="N53" s="1"/>
  <c r="E55"/>
  <c r="N55" s="1"/>
  <c r="E57"/>
  <c r="N57" s="1"/>
  <c r="E58"/>
  <c r="N58" s="1"/>
  <c r="E59"/>
  <c r="N59" s="1"/>
  <c r="E60"/>
  <c r="N60" s="1"/>
  <c r="E64"/>
  <c r="N64" s="1"/>
  <c r="E11"/>
  <c r="N11" s="1"/>
  <c r="K12" i="3"/>
  <c r="K13"/>
  <c r="K14"/>
  <c r="K16"/>
  <c r="K18"/>
  <c r="K19"/>
  <c r="K20"/>
  <c r="K21"/>
  <c r="K22"/>
  <c r="K24"/>
  <c r="K25"/>
  <c r="K26"/>
  <c r="K27"/>
  <c r="K28"/>
  <c r="K29"/>
  <c r="K30"/>
  <c r="K32"/>
  <c r="K33"/>
  <c r="K34"/>
  <c r="K35"/>
  <c r="K37"/>
  <c r="K38"/>
  <c r="K39"/>
  <c r="K43"/>
  <c r="K44"/>
  <c r="K45"/>
  <c r="K46"/>
  <c r="K47"/>
  <c r="K48"/>
  <c r="K49"/>
  <c r="K50"/>
  <c r="K51"/>
  <c r="K52"/>
  <c r="K53"/>
  <c r="K55"/>
  <c r="K57"/>
  <c r="K58"/>
  <c r="K59"/>
  <c r="K60"/>
  <c r="K64"/>
  <c r="K11"/>
  <c r="H12"/>
  <c r="H13"/>
  <c r="H14"/>
  <c r="H16"/>
  <c r="H18"/>
  <c r="H19"/>
  <c r="H20"/>
  <c r="H21"/>
  <c r="H22"/>
  <c r="H24"/>
  <c r="H25"/>
  <c r="H26"/>
  <c r="H27"/>
  <c r="H28"/>
  <c r="H29"/>
  <c r="H30"/>
  <c r="H32"/>
  <c r="H33"/>
  <c r="H34"/>
  <c r="H35"/>
  <c r="H37"/>
  <c r="H38"/>
  <c r="H39"/>
  <c r="H43"/>
  <c r="H44"/>
  <c r="H45"/>
  <c r="H46"/>
  <c r="H47"/>
  <c r="H48"/>
  <c r="H49"/>
  <c r="H50"/>
  <c r="H51"/>
  <c r="H52"/>
  <c r="H53"/>
  <c r="H55"/>
  <c r="H57"/>
  <c r="H58"/>
  <c r="H59"/>
  <c r="H60"/>
  <c r="H64"/>
  <c r="H11"/>
  <c r="E12"/>
  <c r="N12" s="1"/>
  <c r="E13"/>
  <c r="N13" s="1"/>
  <c r="E14"/>
  <c r="N14" s="1"/>
  <c r="E16"/>
  <c r="N16" s="1"/>
  <c r="E18"/>
  <c r="N18" s="1"/>
  <c r="E19"/>
  <c r="N19" s="1"/>
  <c r="E20"/>
  <c r="N20" s="1"/>
  <c r="E21"/>
  <c r="N21" s="1"/>
  <c r="E22"/>
  <c r="N22" s="1"/>
  <c r="E24"/>
  <c r="N24" s="1"/>
  <c r="E25"/>
  <c r="N25" s="1"/>
  <c r="E26"/>
  <c r="N26" s="1"/>
  <c r="E27"/>
  <c r="N27" s="1"/>
  <c r="E28"/>
  <c r="N28" s="1"/>
  <c r="E29"/>
  <c r="N29" s="1"/>
  <c r="E30"/>
  <c r="N30" s="1"/>
  <c r="E32"/>
  <c r="N32" s="1"/>
  <c r="E33"/>
  <c r="N33" s="1"/>
  <c r="E34"/>
  <c r="N34" s="1"/>
  <c r="E35"/>
  <c r="N35" s="1"/>
  <c r="E37"/>
  <c r="N37" s="1"/>
  <c r="E38"/>
  <c r="N38" s="1"/>
  <c r="E39"/>
  <c r="N39" s="1"/>
  <c r="E43"/>
  <c r="E44"/>
  <c r="N44" s="1"/>
  <c r="E45"/>
  <c r="N45" s="1"/>
  <c r="E46"/>
  <c r="N46" s="1"/>
  <c r="E47"/>
  <c r="N47" s="1"/>
  <c r="E48"/>
  <c r="N48" s="1"/>
  <c r="E49"/>
  <c r="N49" s="1"/>
  <c r="E50"/>
  <c r="N50" s="1"/>
  <c r="E51"/>
  <c r="N51" s="1"/>
  <c r="E52"/>
  <c r="N52" s="1"/>
  <c r="E53"/>
  <c r="N53" s="1"/>
  <c r="E55"/>
  <c r="N55" s="1"/>
  <c r="E57"/>
  <c r="N57" s="1"/>
  <c r="E58"/>
  <c r="N58" s="1"/>
  <c r="E59"/>
  <c r="N59" s="1"/>
  <c r="E60"/>
  <c r="N60" s="1"/>
  <c r="E64"/>
  <c r="N64" s="1"/>
  <c r="E11"/>
  <c r="N11" s="1"/>
  <c r="K14" i="2"/>
  <c r="K15"/>
  <c r="K16"/>
  <c r="K18"/>
  <c r="K20"/>
  <c r="K21"/>
  <c r="K22"/>
  <c r="K23"/>
  <c r="K24"/>
  <c r="K26"/>
  <c r="K27"/>
  <c r="K28"/>
  <c r="K29"/>
  <c r="K30"/>
  <c r="K31"/>
  <c r="K32"/>
  <c r="K34"/>
  <c r="K35"/>
  <c r="K36"/>
  <c r="K37"/>
  <c r="K39"/>
  <c r="K40"/>
  <c r="K41"/>
  <c r="K45"/>
  <c r="K46"/>
  <c r="K47"/>
  <c r="K48"/>
  <c r="K49"/>
  <c r="K50"/>
  <c r="K51"/>
  <c r="K52"/>
  <c r="K53"/>
  <c r="K54"/>
  <c r="K55"/>
  <c r="K57"/>
  <c r="K59"/>
  <c r="K60"/>
  <c r="K61"/>
  <c r="K62"/>
  <c r="K66"/>
  <c r="K13"/>
  <c r="H14"/>
  <c r="H15"/>
  <c r="H16"/>
  <c r="H18"/>
  <c r="H20"/>
  <c r="H21"/>
  <c r="H22"/>
  <c r="H23"/>
  <c r="H24"/>
  <c r="H26"/>
  <c r="H27"/>
  <c r="H28"/>
  <c r="H29"/>
  <c r="H30"/>
  <c r="H31"/>
  <c r="H32"/>
  <c r="H34"/>
  <c r="H35"/>
  <c r="H36"/>
  <c r="H37"/>
  <c r="H39"/>
  <c r="H40"/>
  <c r="H41"/>
  <c r="H45"/>
  <c r="H46"/>
  <c r="H47"/>
  <c r="H48"/>
  <c r="H49"/>
  <c r="H50"/>
  <c r="H51"/>
  <c r="H52"/>
  <c r="H53"/>
  <c r="H54"/>
  <c r="H55"/>
  <c r="H57"/>
  <c r="H59"/>
  <c r="H60"/>
  <c r="H61"/>
  <c r="H62"/>
  <c r="H66"/>
  <c r="H13"/>
  <c r="E14"/>
  <c r="N14" s="1"/>
  <c r="E15"/>
  <c r="E16"/>
  <c r="N16" s="1"/>
  <c r="E18"/>
  <c r="N18" s="1"/>
  <c r="E20"/>
  <c r="N20" s="1"/>
  <c r="E21"/>
  <c r="N21" s="1"/>
  <c r="E22"/>
  <c r="N22" s="1"/>
  <c r="E23"/>
  <c r="N23" s="1"/>
  <c r="E24"/>
  <c r="N24" s="1"/>
  <c r="E26"/>
  <c r="N26" s="1"/>
  <c r="E27"/>
  <c r="N27" s="1"/>
  <c r="E28"/>
  <c r="N28" s="1"/>
  <c r="E29"/>
  <c r="N29" s="1"/>
  <c r="E30"/>
  <c r="E31"/>
  <c r="N31" s="1"/>
  <c r="E32"/>
  <c r="N32" s="1"/>
  <c r="E34"/>
  <c r="N34" s="1"/>
  <c r="E35"/>
  <c r="N35" s="1"/>
  <c r="E36"/>
  <c r="N36" s="1"/>
  <c r="E37"/>
  <c r="N37" s="1"/>
  <c r="E39"/>
  <c r="N39" s="1"/>
  <c r="E40"/>
  <c r="N40" s="1"/>
  <c r="E41"/>
  <c r="N41" s="1"/>
  <c r="E45"/>
  <c r="N45" s="1"/>
  <c r="E46"/>
  <c r="N46" s="1"/>
  <c r="E47"/>
  <c r="E48"/>
  <c r="E49"/>
  <c r="E50"/>
  <c r="N50" s="1"/>
  <c r="E51"/>
  <c r="N51" s="1"/>
  <c r="E52"/>
  <c r="N52" s="1"/>
  <c r="E53"/>
  <c r="N53" s="1"/>
  <c r="E54"/>
  <c r="N54" s="1"/>
  <c r="E55"/>
  <c r="N55" s="1"/>
  <c r="E57"/>
  <c r="N57" s="1"/>
  <c r="E59"/>
  <c r="E60"/>
  <c r="N60" s="1"/>
  <c r="E61"/>
  <c r="N61" s="1"/>
  <c r="E62"/>
  <c r="N62" s="1"/>
  <c r="E66"/>
  <c r="N66" s="1"/>
  <c r="E13"/>
  <c r="N13" s="1"/>
  <c r="K14" i="1"/>
  <c r="K15"/>
  <c r="K16"/>
  <c r="K18"/>
  <c r="K20"/>
  <c r="K21"/>
  <c r="K22"/>
  <c r="K23"/>
  <c r="K24"/>
  <c r="K26"/>
  <c r="K27"/>
  <c r="K28"/>
  <c r="K29"/>
  <c r="K30"/>
  <c r="K31"/>
  <c r="K32"/>
  <c r="K34"/>
  <c r="K35"/>
  <c r="K36"/>
  <c r="K37"/>
  <c r="K39"/>
  <c r="K40"/>
  <c r="K41"/>
  <c r="K45"/>
  <c r="K46"/>
  <c r="K47"/>
  <c r="K48"/>
  <c r="K49"/>
  <c r="K50"/>
  <c r="K51"/>
  <c r="K52"/>
  <c r="K53"/>
  <c r="K54"/>
  <c r="K55"/>
  <c r="K57"/>
  <c r="K59"/>
  <c r="K60"/>
  <c r="K61"/>
  <c r="K62"/>
  <c r="K66"/>
  <c r="K13"/>
  <c r="H14"/>
  <c r="H15"/>
  <c r="H16"/>
  <c r="H18"/>
  <c r="H20"/>
  <c r="H21"/>
  <c r="H22"/>
  <c r="H23"/>
  <c r="H24"/>
  <c r="H26"/>
  <c r="H27"/>
  <c r="H28"/>
  <c r="H29"/>
  <c r="H30"/>
  <c r="H31"/>
  <c r="H32"/>
  <c r="H34"/>
  <c r="H35"/>
  <c r="H36"/>
  <c r="H37"/>
  <c r="H39"/>
  <c r="H40"/>
  <c r="H41"/>
  <c r="H45"/>
  <c r="H46"/>
  <c r="H47"/>
  <c r="H48"/>
  <c r="H49"/>
  <c r="H50"/>
  <c r="H51"/>
  <c r="H52"/>
  <c r="H53"/>
  <c r="H54"/>
  <c r="H55"/>
  <c r="H57"/>
  <c r="H59"/>
  <c r="H60"/>
  <c r="H61"/>
  <c r="H62"/>
  <c r="H66"/>
  <c r="H13"/>
  <c r="E14"/>
  <c r="N14" s="1"/>
  <c r="E15"/>
  <c r="N15" s="1"/>
  <c r="E16"/>
  <c r="N16" s="1"/>
  <c r="E18"/>
  <c r="N18" s="1"/>
  <c r="E20"/>
  <c r="N20" s="1"/>
  <c r="E21"/>
  <c r="N21" s="1"/>
  <c r="E22"/>
  <c r="N22" s="1"/>
  <c r="E23"/>
  <c r="N23" s="1"/>
  <c r="E24"/>
  <c r="N24" s="1"/>
  <c r="E26"/>
  <c r="N26" s="1"/>
  <c r="E27"/>
  <c r="N27" s="1"/>
  <c r="E28"/>
  <c r="N28" s="1"/>
  <c r="E29"/>
  <c r="N29" s="1"/>
  <c r="E30"/>
  <c r="E31"/>
  <c r="N31" s="1"/>
  <c r="E32"/>
  <c r="N32" s="1"/>
  <c r="E34"/>
  <c r="N34" s="1"/>
  <c r="E35"/>
  <c r="N35" s="1"/>
  <c r="E36"/>
  <c r="N36" s="1"/>
  <c r="E37"/>
  <c r="N37" s="1"/>
  <c r="E39"/>
  <c r="N39" s="1"/>
  <c r="E40"/>
  <c r="N40" s="1"/>
  <c r="E41"/>
  <c r="N41" s="1"/>
  <c r="E45"/>
  <c r="N45" s="1"/>
  <c r="E46"/>
  <c r="N46" s="1"/>
  <c r="E47"/>
  <c r="N47" s="1"/>
  <c r="E48"/>
  <c r="N48" s="1"/>
  <c r="E49"/>
  <c r="E50"/>
  <c r="N50" s="1"/>
  <c r="E51"/>
  <c r="N51" s="1"/>
  <c r="E52"/>
  <c r="N52" s="1"/>
  <c r="E53"/>
  <c r="N53" s="1"/>
  <c r="E54"/>
  <c r="N54" s="1"/>
  <c r="E55"/>
  <c r="N55" s="1"/>
  <c r="E57"/>
  <c r="N57" s="1"/>
  <c r="E59"/>
  <c r="N59" s="1"/>
  <c r="E60"/>
  <c r="N60" s="1"/>
  <c r="E61"/>
  <c r="N61" s="1"/>
  <c r="E62"/>
  <c r="N62" s="1"/>
  <c r="E66"/>
  <c r="N66" s="1"/>
  <c r="E13"/>
  <c r="N13" s="1"/>
  <c r="F61" i="9"/>
  <c r="F54"/>
  <c r="F56" s="1"/>
  <c r="F62" s="1"/>
  <c r="F40"/>
  <c r="F31"/>
  <c r="F23"/>
  <c r="F15"/>
  <c r="F17" s="1"/>
  <c r="F36" s="1"/>
  <c r="F41" s="1"/>
  <c r="L61" i="8"/>
  <c r="L54"/>
  <c r="L56" s="1"/>
  <c r="L62" s="1"/>
  <c r="L40"/>
  <c r="L31"/>
  <c r="L23"/>
  <c r="L15"/>
  <c r="L17" s="1"/>
  <c r="L36" s="1"/>
  <c r="L41" s="1"/>
  <c r="I61"/>
  <c r="I54"/>
  <c r="I56" s="1"/>
  <c r="I62" s="1"/>
  <c r="I40"/>
  <c r="I31"/>
  <c r="I23"/>
  <c r="I15"/>
  <c r="I17" s="1"/>
  <c r="I36" s="1"/>
  <c r="I41" s="1"/>
  <c r="F61"/>
  <c r="F54"/>
  <c r="F56" s="1"/>
  <c r="F62" s="1"/>
  <c r="F40"/>
  <c r="F31"/>
  <c r="F23"/>
  <c r="F15"/>
  <c r="F17" s="1"/>
  <c r="F36" s="1"/>
  <c r="F41" s="1"/>
  <c r="C61"/>
  <c r="C54"/>
  <c r="C56" s="1"/>
  <c r="C62" s="1"/>
  <c r="C40"/>
  <c r="C31"/>
  <c r="C23"/>
  <c r="C15"/>
  <c r="C17" s="1"/>
  <c r="C36" s="1"/>
  <c r="C41" s="1"/>
  <c r="I61" i="7"/>
  <c r="I54"/>
  <c r="I56" s="1"/>
  <c r="I62" s="1"/>
  <c r="I40"/>
  <c r="I31"/>
  <c r="I23"/>
  <c r="I15"/>
  <c r="I17" s="1"/>
  <c r="I36" s="1"/>
  <c r="I41" s="1"/>
  <c r="F61"/>
  <c r="F54"/>
  <c r="F56" s="1"/>
  <c r="F62" s="1"/>
  <c r="F40"/>
  <c r="F31"/>
  <c r="F23"/>
  <c r="F15"/>
  <c r="F17" s="1"/>
  <c r="F36" s="1"/>
  <c r="F41" s="1"/>
  <c r="C61"/>
  <c r="C54"/>
  <c r="C56" s="1"/>
  <c r="R56" s="1"/>
  <c r="C40"/>
  <c r="C31"/>
  <c r="C23"/>
  <c r="R23" s="1"/>
  <c r="C15"/>
  <c r="C17" s="1"/>
  <c r="C36" s="1"/>
  <c r="C41" s="1"/>
  <c r="R41" s="1"/>
  <c r="I61" i="5"/>
  <c r="I54"/>
  <c r="I56" s="1"/>
  <c r="I62" s="1"/>
  <c r="I40"/>
  <c r="I31"/>
  <c r="I23"/>
  <c r="I15"/>
  <c r="I17" s="1"/>
  <c r="I36" s="1"/>
  <c r="I41" s="1"/>
  <c r="F61"/>
  <c r="F54"/>
  <c r="F56" s="1"/>
  <c r="F62" s="1"/>
  <c r="F40"/>
  <c r="F31"/>
  <c r="F23"/>
  <c r="F15"/>
  <c r="F17" s="1"/>
  <c r="F36" s="1"/>
  <c r="F41" s="1"/>
  <c r="C61"/>
  <c r="C54"/>
  <c r="C56" s="1"/>
  <c r="C62" s="1"/>
  <c r="C40"/>
  <c r="C31"/>
  <c r="C23"/>
  <c r="C15"/>
  <c r="C17" s="1"/>
  <c r="C36" s="1"/>
  <c r="C41" s="1"/>
  <c r="I61" i="4"/>
  <c r="I54"/>
  <c r="I56" s="1"/>
  <c r="I62" s="1"/>
  <c r="I40"/>
  <c r="I31"/>
  <c r="I23"/>
  <c r="I15"/>
  <c r="I17" s="1"/>
  <c r="I36" s="1"/>
  <c r="I41" s="1"/>
  <c r="F61"/>
  <c r="F54"/>
  <c r="F56" s="1"/>
  <c r="F62" s="1"/>
  <c r="F40"/>
  <c r="F31"/>
  <c r="F23"/>
  <c r="F15"/>
  <c r="F17" s="1"/>
  <c r="F36" s="1"/>
  <c r="F41" s="1"/>
  <c r="C61"/>
  <c r="C54"/>
  <c r="C56" s="1"/>
  <c r="C62" s="1"/>
  <c r="C40"/>
  <c r="C31"/>
  <c r="C23"/>
  <c r="C15"/>
  <c r="C17"/>
  <c r="C36" s="1"/>
  <c r="C41" s="1"/>
  <c r="I61" i="3"/>
  <c r="I54"/>
  <c r="I56" s="1"/>
  <c r="I62" s="1"/>
  <c r="I40"/>
  <c r="I31"/>
  <c r="I23"/>
  <c r="I15"/>
  <c r="I17" s="1"/>
  <c r="I36" s="1"/>
  <c r="I41" s="1"/>
  <c r="F61"/>
  <c r="H61" s="1"/>
  <c r="F54"/>
  <c r="F56" s="1"/>
  <c r="F62" s="1"/>
  <c r="F40"/>
  <c r="H40" s="1"/>
  <c r="F31"/>
  <c r="H31" s="1"/>
  <c r="F23"/>
  <c r="F15"/>
  <c r="F17" s="1"/>
  <c r="F36" s="1"/>
  <c r="F41" s="1"/>
  <c r="C61"/>
  <c r="E61" s="1"/>
  <c r="C54"/>
  <c r="C56" s="1"/>
  <c r="C62" s="1"/>
  <c r="C40"/>
  <c r="E40" s="1"/>
  <c r="C31"/>
  <c r="C23"/>
  <c r="C15"/>
  <c r="C17" s="1"/>
  <c r="C36" s="1"/>
  <c r="C41" s="1"/>
  <c r="I63" i="2"/>
  <c r="K63" s="1"/>
  <c r="I56"/>
  <c r="I58" s="1"/>
  <c r="I64" s="1"/>
  <c r="I42"/>
  <c r="K42" s="1"/>
  <c r="I33"/>
  <c r="K33" s="1"/>
  <c r="I25"/>
  <c r="K25" s="1"/>
  <c r="I17"/>
  <c r="I19" s="1"/>
  <c r="I38" s="1"/>
  <c r="I43" s="1"/>
  <c r="F63"/>
  <c r="H63" s="1"/>
  <c r="F56"/>
  <c r="F58" s="1"/>
  <c r="F64" s="1"/>
  <c r="F42"/>
  <c r="H42" s="1"/>
  <c r="F33"/>
  <c r="F25"/>
  <c r="H25" s="1"/>
  <c r="F17"/>
  <c r="F19" s="1"/>
  <c r="F38" s="1"/>
  <c r="F43" s="1"/>
  <c r="C63"/>
  <c r="E63" s="1"/>
  <c r="N63" s="1"/>
  <c r="C56"/>
  <c r="C58" s="1"/>
  <c r="C64" s="1"/>
  <c r="C42"/>
  <c r="E42" s="1"/>
  <c r="N42" s="1"/>
  <c r="C33"/>
  <c r="C25"/>
  <c r="C17"/>
  <c r="C19" s="1"/>
  <c r="C38" s="1"/>
  <c r="C43" s="1"/>
  <c r="I63" i="1"/>
  <c r="K63" s="1"/>
  <c r="I56"/>
  <c r="I58" s="1"/>
  <c r="I64" s="1"/>
  <c r="I42"/>
  <c r="K42" s="1"/>
  <c r="I33"/>
  <c r="K33" s="1"/>
  <c r="I25"/>
  <c r="I17"/>
  <c r="I19" s="1"/>
  <c r="I38" s="1"/>
  <c r="I43" s="1"/>
  <c r="F63"/>
  <c r="H63" s="1"/>
  <c r="F56"/>
  <c r="F58" s="1"/>
  <c r="F64" s="1"/>
  <c r="F42"/>
  <c r="H42" s="1"/>
  <c r="F33"/>
  <c r="H33" s="1"/>
  <c r="F25"/>
  <c r="F17"/>
  <c r="F19" s="1"/>
  <c r="F38" s="1"/>
  <c r="F43" s="1"/>
  <c r="C63"/>
  <c r="E63" s="1"/>
  <c r="N63" s="1"/>
  <c r="C56"/>
  <c r="C58" s="1"/>
  <c r="C64" s="1"/>
  <c r="C42"/>
  <c r="E42" s="1"/>
  <c r="N42" s="1"/>
  <c r="C33"/>
  <c r="C25"/>
  <c r="C17"/>
  <c r="C19" s="1"/>
  <c r="C38" s="1"/>
  <c r="C43" s="1"/>
  <c r="D10" i="9"/>
  <c r="E10" s="1"/>
  <c r="F10" s="1"/>
  <c r="G10" s="1"/>
  <c r="H10" s="1"/>
  <c r="I10" s="1"/>
  <c r="J10" s="1"/>
  <c r="K10" s="1"/>
  <c r="D10" i="8"/>
  <c r="E10" s="1"/>
  <c r="F10" s="1"/>
  <c r="G10" s="1"/>
  <c r="H10" s="1"/>
  <c r="I10" s="1"/>
  <c r="J10" s="1"/>
  <c r="K10" s="1"/>
  <c r="L10" s="1"/>
  <c r="M10" s="1"/>
  <c r="N10" s="1"/>
  <c r="D10" i="7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D12" i="9"/>
  <c r="J12" s="1"/>
  <c r="D13"/>
  <c r="J13" s="1"/>
  <c r="D14"/>
  <c r="J14" s="1"/>
  <c r="D16"/>
  <c r="J16" s="1"/>
  <c r="D18"/>
  <c r="J18" s="1"/>
  <c r="D19"/>
  <c r="J19" s="1"/>
  <c r="D20"/>
  <c r="J20" s="1"/>
  <c r="D21"/>
  <c r="J21" s="1"/>
  <c r="D22"/>
  <c r="J22" s="1"/>
  <c r="D24"/>
  <c r="J24" s="1"/>
  <c r="D25"/>
  <c r="J25" s="1"/>
  <c r="D26"/>
  <c r="J26" s="1"/>
  <c r="D27"/>
  <c r="J27" s="1"/>
  <c r="D28"/>
  <c r="J28" s="1"/>
  <c r="D29"/>
  <c r="J29" s="1"/>
  <c r="D30"/>
  <c r="J30" s="1"/>
  <c r="D32"/>
  <c r="J32" s="1"/>
  <c r="D33"/>
  <c r="J33" s="1"/>
  <c r="D34"/>
  <c r="J34" s="1"/>
  <c r="D35"/>
  <c r="J35" s="1"/>
  <c r="D37"/>
  <c r="J37" s="1"/>
  <c r="D38"/>
  <c r="J38" s="1"/>
  <c r="D39"/>
  <c r="J39" s="1"/>
  <c r="D43"/>
  <c r="J43" s="1"/>
  <c r="D44"/>
  <c r="J44" s="1"/>
  <c r="D45"/>
  <c r="J45" s="1"/>
  <c r="D46"/>
  <c r="J46" s="1"/>
  <c r="D47"/>
  <c r="J47" s="1"/>
  <c r="D48"/>
  <c r="J48" s="1"/>
  <c r="D49"/>
  <c r="J49" s="1"/>
  <c r="D50"/>
  <c r="J50" s="1"/>
  <c r="D51"/>
  <c r="J51" s="1"/>
  <c r="D52"/>
  <c r="J52" s="1"/>
  <c r="D53"/>
  <c r="J53" s="1"/>
  <c r="D55"/>
  <c r="J55" s="1"/>
  <c r="D57"/>
  <c r="J57" s="1"/>
  <c r="D58"/>
  <c r="J58" s="1"/>
  <c r="D59"/>
  <c r="J59" s="1"/>
  <c r="D60"/>
  <c r="J60" s="1"/>
  <c r="D64"/>
  <c r="J64" s="1"/>
  <c r="D11"/>
  <c r="C12"/>
  <c r="C13"/>
  <c r="C14"/>
  <c r="C15"/>
  <c r="C16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7"/>
  <c r="C38"/>
  <c r="C39"/>
  <c r="C40"/>
  <c r="C43"/>
  <c r="C44"/>
  <c r="C45"/>
  <c r="C46"/>
  <c r="C47"/>
  <c r="C48"/>
  <c r="C49"/>
  <c r="C50"/>
  <c r="C51"/>
  <c r="C52"/>
  <c r="C53"/>
  <c r="C54"/>
  <c r="C55"/>
  <c r="C57"/>
  <c r="C58"/>
  <c r="C59"/>
  <c r="C60"/>
  <c r="C61"/>
  <c r="C64"/>
  <c r="C11"/>
  <c r="M61" i="8"/>
  <c r="M54"/>
  <c r="M56" s="1"/>
  <c r="N56" s="1"/>
  <c r="M40"/>
  <c r="M31"/>
  <c r="M23"/>
  <c r="M15"/>
  <c r="M17" s="1"/>
  <c r="N17" s="1"/>
  <c r="I57" i="9"/>
  <c r="S11" i="7"/>
  <c r="J11" i="9" s="1"/>
  <c r="R11" i="7"/>
  <c r="I64" i="9"/>
  <c r="G61"/>
  <c r="I60"/>
  <c r="I59"/>
  <c r="I55"/>
  <c r="G54"/>
  <c r="G56" s="1"/>
  <c r="H56" s="1"/>
  <c r="I53"/>
  <c r="I52"/>
  <c r="I51"/>
  <c r="I50"/>
  <c r="I49"/>
  <c r="I48"/>
  <c r="I47"/>
  <c r="I45"/>
  <c r="I44"/>
  <c r="G40"/>
  <c r="I39"/>
  <c r="I38"/>
  <c r="I35"/>
  <c r="I34"/>
  <c r="I33"/>
  <c r="I32"/>
  <c r="G31"/>
  <c r="I30"/>
  <c r="I28"/>
  <c r="I27"/>
  <c r="I26"/>
  <c r="I25"/>
  <c r="I24"/>
  <c r="G23"/>
  <c r="I22"/>
  <c r="I21"/>
  <c r="I20"/>
  <c r="I19"/>
  <c r="I23"/>
  <c r="I16"/>
  <c r="G15"/>
  <c r="G17" s="1"/>
  <c r="H17" s="1"/>
  <c r="I14"/>
  <c r="I12"/>
  <c r="J61" i="8"/>
  <c r="G61"/>
  <c r="D61"/>
  <c r="D61" i="9" s="1"/>
  <c r="J54" i="8"/>
  <c r="J56" s="1"/>
  <c r="J62" s="1"/>
  <c r="G54"/>
  <c r="G56" s="1"/>
  <c r="G62" s="1"/>
  <c r="D54"/>
  <c r="D56" s="1"/>
  <c r="D56" i="9" s="1"/>
  <c r="J40" i="8"/>
  <c r="G40"/>
  <c r="D40"/>
  <c r="D40" i="9" s="1"/>
  <c r="J31" i="8"/>
  <c r="G31"/>
  <c r="H31" s="1"/>
  <c r="D31"/>
  <c r="J23"/>
  <c r="K23" s="1"/>
  <c r="G23"/>
  <c r="H23" s="1"/>
  <c r="D23"/>
  <c r="J15"/>
  <c r="J17" s="1"/>
  <c r="K17" s="1"/>
  <c r="G15"/>
  <c r="G17" s="1"/>
  <c r="H17" s="1"/>
  <c r="D15"/>
  <c r="D17" s="1"/>
  <c r="D17" i="9" s="1"/>
  <c r="J61" i="7"/>
  <c r="G61"/>
  <c r="D61"/>
  <c r="S61" s="1"/>
  <c r="J54"/>
  <c r="J56" s="1"/>
  <c r="J62" s="1"/>
  <c r="G54"/>
  <c r="G56" s="1"/>
  <c r="G62" s="1"/>
  <c r="D54"/>
  <c r="D56" s="1"/>
  <c r="S56" s="1"/>
  <c r="J56" i="9" s="1"/>
  <c r="J40" i="7"/>
  <c r="G40"/>
  <c r="D40"/>
  <c r="S40" s="1"/>
  <c r="J31"/>
  <c r="G31"/>
  <c r="H31" s="1"/>
  <c r="D31"/>
  <c r="J23"/>
  <c r="K23" s="1"/>
  <c r="G23"/>
  <c r="H23" s="1"/>
  <c r="D23"/>
  <c r="J15"/>
  <c r="J17" s="1"/>
  <c r="K17" s="1"/>
  <c r="G15"/>
  <c r="G17" s="1"/>
  <c r="H17" s="1"/>
  <c r="D15"/>
  <c r="D17" s="1"/>
  <c r="S17" s="1"/>
  <c r="J17" i="9" s="1"/>
  <c r="M64" i="5"/>
  <c r="L64"/>
  <c r="J61"/>
  <c r="G61"/>
  <c r="D61"/>
  <c r="M60"/>
  <c r="L60"/>
  <c r="L59"/>
  <c r="M58"/>
  <c r="M61" s="1"/>
  <c r="L58"/>
  <c r="L61" s="1"/>
  <c r="M55"/>
  <c r="L55"/>
  <c r="J54"/>
  <c r="J56" s="1"/>
  <c r="K56" s="1"/>
  <c r="G54"/>
  <c r="G56" s="1"/>
  <c r="H56" s="1"/>
  <c r="D54"/>
  <c r="D56" s="1"/>
  <c r="E56" s="1"/>
  <c r="M53"/>
  <c r="L53"/>
  <c r="M52"/>
  <c r="L52"/>
  <c r="M51"/>
  <c r="L51"/>
  <c r="M50"/>
  <c r="L50"/>
  <c r="M49"/>
  <c r="L49"/>
  <c r="M48"/>
  <c r="L48"/>
  <c r="M47"/>
  <c r="L47"/>
  <c r="M46"/>
  <c r="M54" s="1"/>
  <c r="L46"/>
  <c r="L54" s="1"/>
  <c r="M45"/>
  <c r="L45"/>
  <c r="M44"/>
  <c r="L44"/>
  <c r="M43"/>
  <c r="L43"/>
  <c r="L56" s="1"/>
  <c r="L62" s="1"/>
  <c r="J40"/>
  <c r="G40"/>
  <c r="D40"/>
  <c r="M39"/>
  <c r="L39"/>
  <c r="M38"/>
  <c r="L38"/>
  <c r="M37"/>
  <c r="M40" s="1"/>
  <c r="L37"/>
  <c r="L40" s="1"/>
  <c r="M35"/>
  <c r="L35"/>
  <c r="M34"/>
  <c r="L34"/>
  <c r="M33"/>
  <c r="L33"/>
  <c r="M32"/>
  <c r="L32"/>
  <c r="J31"/>
  <c r="G31"/>
  <c r="D31"/>
  <c r="E31" s="1"/>
  <c r="M30"/>
  <c r="L30"/>
  <c r="M29"/>
  <c r="M31" s="1"/>
  <c r="L29"/>
  <c r="L31" s="1"/>
  <c r="M28"/>
  <c r="L28"/>
  <c r="M27"/>
  <c r="L27"/>
  <c r="M26"/>
  <c r="L26"/>
  <c r="M25"/>
  <c r="L25"/>
  <c r="M24"/>
  <c r="L24"/>
  <c r="J23"/>
  <c r="K23" s="1"/>
  <c r="G23"/>
  <c r="H23" s="1"/>
  <c r="D23"/>
  <c r="E23" s="1"/>
  <c r="M22"/>
  <c r="L22"/>
  <c r="M21"/>
  <c r="L21"/>
  <c r="M20"/>
  <c r="L20"/>
  <c r="M19"/>
  <c r="L19"/>
  <c r="M18"/>
  <c r="M23" s="1"/>
  <c r="L18"/>
  <c r="L23" s="1"/>
  <c r="M16"/>
  <c r="L16"/>
  <c r="J15"/>
  <c r="J17" s="1"/>
  <c r="K17" s="1"/>
  <c r="G15"/>
  <c r="G17" s="1"/>
  <c r="H17" s="1"/>
  <c r="D15"/>
  <c r="D17" s="1"/>
  <c r="E17" s="1"/>
  <c r="M14"/>
  <c r="L14"/>
  <c r="M13"/>
  <c r="M15" s="1"/>
  <c r="L13"/>
  <c r="L15" s="1"/>
  <c r="M12"/>
  <c r="L12"/>
  <c r="M11"/>
  <c r="M17" s="1"/>
  <c r="L11"/>
  <c r="L17" s="1"/>
  <c r="L36" s="1"/>
  <c r="L41" s="1"/>
  <c r="D10"/>
  <c r="E10" s="1"/>
  <c r="F10" s="1"/>
  <c r="G10" s="1"/>
  <c r="H10" s="1"/>
  <c r="I10" s="1"/>
  <c r="J10" s="1"/>
  <c r="K10" s="1"/>
  <c r="L10" s="1"/>
  <c r="M10" s="1"/>
  <c r="N10" s="1"/>
  <c r="M64" i="4"/>
  <c r="L64"/>
  <c r="J61"/>
  <c r="G61"/>
  <c r="D61"/>
  <c r="M60"/>
  <c r="L60"/>
  <c r="L59"/>
  <c r="M58"/>
  <c r="M61" s="1"/>
  <c r="L58"/>
  <c r="L61" s="1"/>
  <c r="M55"/>
  <c r="L55"/>
  <c r="J54"/>
  <c r="J56" s="1"/>
  <c r="K56" s="1"/>
  <c r="G54"/>
  <c r="G56" s="1"/>
  <c r="H56" s="1"/>
  <c r="D54"/>
  <c r="D56" s="1"/>
  <c r="E56" s="1"/>
  <c r="M53"/>
  <c r="L53"/>
  <c r="M52"/>
  <c r="L52"/>
  <c r="M51"/>
  <c r="L51"/>
  <c r="M50"/>
  <c r="L50"/>
  <c r="M49"/>
  <c r="L49"/>
  <c r="M48"/>
  <c r="L48"/>
  <c r="M47"/>
  <c r="L47"/>
  <c r="M46"/>
  <c r="M54" s="1"/>
  <c r="L46"/>
  <c r="L54" s="1"/>
  <c r="M45"/>
  <c r="L45"/>
  <c r="M44"/>
  <c r="L44"/>
  <c r="M43"/>
  <c r="L43"/>
  <c r="L56" s="1"/>
  <c r="L62" s="1"/>
  <c r="J40"/>
  <c r="G40"/>
  <c r="D40"/>
  <c r="M39"/>
  <c r="L39"/>
  <c r="M38"/>
  <c r="L38"/>
  <c r="M37"/>
  <c r="M40" s="1"/>
  <c r="L37"/>
  <c r="L40" s="1"/>
  <c r="M35"/>
  <c r="L35"/>
  <c r="M34"/>
  <c r="L34"/>
  <c r="M33"/>
  <c r="L33"/>
  <c r="M32"/>
  <c r="L32"/>
  <c r="J31"/>
  <c r="G31"/>
  <c r="D31"/>
  <c r="E31" s="1"/>
  <c r="M30"/>
  <c r="L30"/>
  <c r="M29"/>
  <c r="M31" s="1"/>
  <c r="L29"/>
  <c r="L31" s="1"/>
  <c r="M28"/>
  <c r="L28"/>
  <c r="M27"/>
  <c r="L27"/>
  <c r="M26"/>
  <c r="L26"/>
  <c r="M25"/>
  <c r="L25"/>
  <c r="M24"/>
  <c r="L24"/>
  <c r="J23"/>
  <c r="K23" s="1"/>
  <c r="G23"/>
  <c r="H23" s="1"/>
  <c r="D23"/>
  <c r="E23" s="1"/>
  <c r="M22"/>
  <c r="L22"/>
  <c r="M21"/>
  <c r="L21"/>
  <c r="M20"/>
  <c r="L20"/>
  <c r="M19"/>
  <c r="L19"/>
  <c r="M18"/>
  <c r="M23" s="1"/>
  <c r="L18"/>
  <c r="L23" s="1"/>
  <c r="M16"/>
  <c r="L16"/>
  <c r="J15"/>
  <c r="J17" s="1"/>
  <c r="K17" s="1"/>
  <c r="G15"/>
  <c r="G17" s="1"/>
  <c r="H17" s="1"/>
  <c r="D15"/>
  <c r="D17" s="1"/>
  <c r="E17" s="1"/>
  <c r="M14"/>
  <c r="L14"/>
  <c r="M13"/>
  <c r="M15" s="1"/>
  <c r="L13"/>
  <c r="L15" s="1"/>
  <c r="M12"/>
  <c r="L12"/>
  <c r="M11"/>
  <c r="L11"/>
  <c r="L17" s="1"/>
  <c r="L36" s="1"/>
  <c r="L41" s="1"/>
  <c r="D10"/>
  <c r="E10" s="1"/>
  <c r="F10" s="1"/>
  <c r="G10" s="1"/>
  <c r="H10" s="1"/>
  <c r="I10" s="1"/>
  <c r="J10" s="1"/>
  <c r="K10" s="1"/>
  <c r="L10" s="1"/>
  <c r="M10" s="1"/>
  <c r="N10" s="1"/>
  <c r="M64" i="3"/>
  <c r="L64"/>
  <c r="J61"/>
  <c r="G61"/>
  <c r="D61"/>
  <c r="M60"/>
  <c r="L60"/>
  <c r="L59"/>
  <c r="M58"/>
  <c r="M61" s="1"/>
  <c r="L58"/>
  <c r="L61" s="1"/>
  <c r="M55"/>
  <c r="L55"/>
  <c r="J54"/>
  <c r="J56" s="1"/>
  <c r="J62" s="1"/>
  <c r="K62" s="1"/>
  <c r="G54"/>
  <c r="G56" s="1"/>
  <c r="D54"/>
  <c r="D56" s="1"/>
  <c r="E56" s="1"/>
  <c r="M53"/>
  <c r="L53"/>
  <c r="M52"/>
  <c r="L52"/>
  <c r="M51"/>
  <c r="L51"/>
  <c r="M50"/>
  <c r="L50"/>
  <c r="M49"/>
  <c r="L49"/>
  <c r="M48"/>
  <c r="L48"/>
  <c r="M47"/>
  <c r="L47"/>
  <c r="M46"/>
  <c r="M54" s="1"/>
  <c r="L46"/>
  <c r="L54" s="1"/>
  <c r="M45"/>
  <c r="L45"/>
  <c r="M44"/>
  <c r="L44"/>
  <c r="M43"/>
  <c r="L43"/>
  <c r="L56" s="1"/>
  <c r="L62" s="1"/>
  <c r="J40"/>
  <c r="G40"/>
  <c r="D40"/>
  <c r="M39"/>
  <c r="L39"/>
  <c r="M38"/>
  <c r="L38"/>
  <c r="M37"/>
  <c r="M40" s="1"/>
  <c r="L37"/>
  <c r="L40" s="1"/>
  <c r="M35"/>
  <c r="L35"/>
  <c r="M34"/>
  <c r="L34"/>
  <c r="M33"/>
  <c r="L33"/>
  <c r="M32"/>
  <c r="L32"/>
  <c r="J31"/>
  <c r="K31" s="1"/>
  <c r="G31"/>
  <c r="D31"/>
  <c r="E31" s="1"/>
  <c r="M30"/>
  <c r="L30"/>
  <c r="M29"/>
  <c r="M31" s="1"/>
  <c r="L29"/>
  <c r="L31" s="1"/>
  <c r="M28"/>
  <c r="L28"/>
  <c r="M27"/>
  <c r="L27"/>
  <c r="M26"/>
  <c r="L26"/>
  <c r="M25"/>
  <c r="L25"/>
  <c r="M24"/>
  <c r="L24"/>
  <c r="J23"/>
  <c r="G23"/>
  <c r="H23" s="1"/>
  <c r="D23"/>
  <c r="E23" s="1"/>
  <c r="M22"/>
  <c r="L22"/>
  <c r="M21"/>
  <c r="L21"/>
  <c r="M20"/>
  <c r="L20"/>
  <c r="M19"/>
  <c r="L19"/>
  <c r="M18"/>
  <c r="M23" s="1"/>
  <c r="L18"/>
  <c r="L23" s="1"/>
  <c r="M16"/>
  <c r="L16"/>
  <c r="J15"/>
  <c r="J17" s="1"/>
  <c r="K17" s="1"/>
  <c r="G15"/>
  <c r="G17" s="1"/>
  <c r="H17" s="1"/>
  <c r="D15"/>
  <c r="D17" s="1"/>
  <c r="E17" s="1"/>
  <c r="M14"/>
  <c r="L14"/>
  <c r="M13"/>
  <c r="M15" s="1"/>
  <c r="L13"/>
  <c r="L15" s="1"/>
  <c r="M12"/>
  <c r="L12"/>
  <c r="M11"/>
  <c r="M17" s="1"/>
  <c r="L11"/>
  <c r="L17" s="1"/>
  <c r="L36" s="1"/>
  <c r="L41" s="1"/>
  <c r="D10"/>
  <c r="E10" s="1"/>
  <c r="F10" s="1"/>
  <c r="G10" s="1"/>
  <c r="H10" s="1"/>
  <c r="I10" s="1"/>
  <c r="J10" s="1"/>
  <c r="K10" s="1"/>
  <c r="L10" s="1"/>
  <c r="M10" s="1"/>
  <c r="N10" s="1"/>
  <c r="M66" i="2"/>
  <c r="L66"/>
  <c r="J63"/>
  <c r="G63"/>
  <c r="D63"/>
  <c r="M62"/>
  <c r="L62"/>
  <c r="L61"/>
  <c r="M60"/>
  <c r="M63" s="1"/>
  <c r="L60"/>
  <c r="L63" s="1"/>
  <c r="M57"/>
  <c r="L57"/>
  <c r="J56"/>
  <c r="J58" s="1"/>
  <c r="J64" s="1"/>
  <c r="K64" s="1"/>
  <c r="G56"/>
  <c r="G58" s="1"/>
  <c r="H58" s="1"/>
  <c r="D56"/>
  <c r="D58" s="1"/>
  <c r="E58" s="1"/>
  <c r="M55"/>
  <c r="L55"/>
  <c r="M54"/>
  <c r="L54"/>
  <c r="M53"/>
  <c r="L53"/>
  <c r="M52"/>
  <c r="L52"/>
  <c r="M51"/>
  <c r="L51"/>
  <c r="M50"/>
  <c r="L50"/>
  <c r="M49"/>
  <c r="L49"/>
  <c r="M48"/>
  <c r="M56" s="1"/>
  <c r="L48"/>
  <c r="L56" s="1"/>
  <c r="M47"/>
  <c r="L47"/>
  <c r="M46"/>
  <c r="L46"/>
  <c r="M45"/>
  <c r="L45"/>
  <c r="L58" s="1"/>
  <c r="L64" s="1"/>
  <c r="J42"/>
  <c r="G42"/>
  <c r="D42"/>
  <c r="M41"/>
  <c r="L41"/>
  <c r="M40"/>
  <c r="L40"/>
  <c r="M39"/>
  <c r="M42" s="1"/>
  <c r="L39"/>
  <c r="L42" s="1"/>
  <c r="M37"/>
  <c r="L37"/>
  <c r="M36"/>
  <c r="L36"/>
  <c r="M35"/>
  <c r="L35"/>
  <c r="M34"/>
  <c r="L34"/>
  <c r="J33"/>
  <c r="G33"/>
  <c r="H33" s="1"/>
  <c r="D33"/>
  <c r="E33" s="1"/>
  <c r="M32"/>
  <c r="L32"/>
  <c r="M31"/>
  <c r="M33" s="1"/>
  <c r="L31"/>
  <c r="L33" s="1"/>
  <c r="M30"/>
  <c r="L30"/>
  <c r="M29"/>
  <c r="L29"/>
  <c r="M28"/>
  <c r="L28"/>
  <c r="M27"/>
  <c r="L27"/>
  <c r="M26"/>
  <c r="L26"/>
  <c r="J25"/>
  <c r="G25"/>
  <c r="D25"/>
  <c r="E25" s="1"/>
  <c r="M24"/>
  <c r="L24"/>
  <c r="M23"/>
  <c r="L23"/>
  <c r="M22"/>
  <c r="L22"/>
  <c r="M21"/>
  <c r="L21"/>
  <c r="M20"/>
  <c r="M25" s="1"/>
  <c r="L20"/>
  <c r="L25" s="1"/>
  <c r="M18"/>
  <c r="L18"/>
  <c r="J17"/>
  <c r="J19" s="1"/>
  <c r="K19" s="1"/>
  <c r="G17"/>
  <c r="G19" s="1"/>
  <c r="H19" s="1"/>
  <c r="D17"/>
  <c r="D19" s="1"/>
  <c r="E19" s="1"/>
  <c r="M16"/>
  <c r="L16"/>
  <c r="M15"/>
  <c r="M17" s="1"/>
  <c r="L15"/>
  <c r="L17" s="1"/>
  <c r="M14"/>
  <c r="L14"/>
  <c r="M13"/>
  <c r="M19" s="1"/>
  <c r="L13"/>
  <c r="L19" s="1"/>
  <c r="L38" s="1"/>
  <c r="L43" s="1"/>
  <c r="D12"/>
  <c r="E12" s="1"/>
  <c r="F12" s="1"/>
  <c r="G12" s="1"/>
  <c r="H12" s="1"/>
  <c r="I12" s="1"/>
  <c r="J12" s="1"/>
  <c r="K12" s="1"/>
  <c r="L12" s="1"/>
  <c r="M12" s="1"/>
  <c r="N12" s="1"/>
  <c r="M66" i="1"/>
  <c r="M62"/>
  <c r="M60"/>
  <c r="M57"/>
  <c r="M55"/>
  <c r="M54"/>
  <c r="M53"/>
  <c r="M52"/>
  <c r="M51"/>
  <c r="M50"/>
  <c r="M49"/>
  <c r="M48"/>
  <c r="M47"/>
  <c r="M46"/>
  <c r="M45"/>
  <c r="M41"/>
  <c r="M40"/>
  <c r="M39"/>
  <c r="M37"/>
  <c r="M36"/>
  <c r="M35"/>
  <c r="M34"/>
  <c r="M32"/>
  <c r="M31"/>
  <c r="M30"/>
  <c r="M29"/>
  <c r="M28"/>
  <c r="M27"/>
  <c r="M26"/>
  <c r="M24"/>
  <c r="M23"/>
  <c r="M22"/>
  <c r="M21"/>
  <c r="M20"/>
  <c r="M18"/>
  <c r="M16"/>
  <c r="M15"/>
  <c r="M14"/>
  <c r="M13"/>
  <c r="L66"/>
  <c r="L62"/>
  <c r="L61"/>
  <c r="L60"/>
  <c r="L57"/>
  <c r="L55"/>
  <c r="L54"/>
  <c r="L53"/>
  <c r="L52"/>
  <c r="L51"/>
  <c r="L50"/>
  <c r="L49"/>
  <c r="L48"/>
  <c r="L47"/>
  <c r="L46"/>
  <c r="L45"/>
  <c r="L41"/>
  <c r="L40"/>
  <c r="L39"/>
  <c r="L37"/>
  <c r="L36"/>
  <c r="L35"/>
  <c r="L34"/>
  <c r="L32"/>
  <c r="L31"/>
  <c r="L30"/>
  <c r="L29"/>
  <c r="L28"/>
  <c r="L27"/>
  <c r="L26"/>
  <c r="L24"/>
  <c r="L23"/>
  <c r="L22"/>
  <c r="L21"/>
  <c r="L20"/>
  <c r="L18"/>
  <c r="L16"/>
  <c r="L15"/>
  <c r="L14"/>
  <c r="L13"/>
  <c r="M63"/>
  <c r="L63"/>
  <c r="J63"/>
  <c r="G63"/>
  <c r="M56"/>
  <c r="M58" s="1"/>
  <c r="L56"/>
  <c r="J56"/>
  <c r="J58" s="1"/>
  <c r="K58" s="1"/>
  <c r="G56"/>
  <c r="G58" s="1"/>
  <c r="H58" s="1"/>
  <c r="M42"/>
  <c r="L42"/>
  <c r="J42"/>
  <c r="G42"/>
  <c r="M33"/>
  <c r="L33"/>
  <c r="J33"/>
  <c r="G33"/>
  <c r="M25"/>
  <c r="L25"/>
  <c r="J25"/>
  <c r="K25" s="1"/>
  <c r="G25"/>
  <c r="H25" s="1"/>
  <c r="M17"/>
  <c r="M19" s="1"/>
  <c r="M38" s="1"/>
  <c r="M43" s="1"/>
  <c r="L17"/>
  <c r="L19" s="1"/>
  <c r="L38" s="1"/>
  <c r="L43" s="1"/>
  <c r="J17"/>
  <c r="K17" s="1"/>
  <c r="G17"/>
  <c r="H17" s="1"/>
  <c r="C12"/>
  <c r="D12"/>
  <c r="E12"/>
  <c r="D63"/>
  <c r="D56"/>
  <c r="D58" s="1"/>
  <c r="E58" s="1"/>
  <c r="D42"/>
  <c r="D33"/>
  <c r="D25"/>
  <c r="E25" s="1"/>
  <c r="D17"/>
  <c r="D19" s="1"/>
  <c r="E19" s="1"/>
  <c r="E33" l="1"/>
  <c r="N33" s="1"/>
  <c r="E23" i="7"/>
  <c r="T23" s="1"/>
  <c r="S23"/>
  <c r="R40"/>
  <c r="I40" i="9" s="1"/>
  <c r="E40" i="7"/>
  <c r="R61"/>
  <c r="I61" i="9" s="1"/>
  <c r="E61" i="7"/>
  <c r="N25" i="2"/>
  <c r="J40" i="9"/>
  <c r="J61"/>
  <c r="K23" i="3"/>
  <c r="K40"/>
  <c r="N40" s="1"/>
  <c r="K61"/>
  <c r="N61" s="1"/>
  <c r="E40" i="4"/>
  <c r="E61"/>
  <c r="H31"/>
  <c r="H40"/>
  <c r="H61"/>
  <c r="K31"/>
  <c r="K40"/>
  <c r="K61"/>
  <c r="E40" i="5"/>
  <c r="E61"/>
  <c r="H31"/>
  <c r="N31" s="1"/>
  <c r="H40"/>
  <c r="H61"/>
  <c r="K31"/>
  <c r="K40"/>
  <c r="K61"/>
  <c r="E31" i="7"/>
  <c r="T31" s="1"/>
  <c r="R31"/>
  <c r="I31" i="9" s="1"/>
  <c r="H40" i="7"/>
  <c r="H61"/>
  <c r="K31"/>
  <c r="K40"/>
  <c r="K61"/>
  <c r="E23" i="8"/>
  <c r="E31"/>
  <c r="E31" i="9" s="1"/>
  <c r="E40" i="8"/>
  <c r="E61"/>
  <c r="H40"/>
  <c r="H61"/>
  <c r="K31"/>
  <c r="K40"/>
  <c r="K61"/>
  <c r="N23"/>
  <c r="N31"/>
  <c r="N40"/>
  <c r="N61"/>
  <c r="H23" i="9"/>
  <c r="H31"/>
  <c r="H40"/>
  <c r="H61"/>
  <c r="N49" i="1"/>
  <c r="N30"/>
  <c r="N47" i="2"/>
  <c r="K64" i="9"/>
  <c r="K60"/>
  <c r="K59"/>
  <c r="K58"/>
  <c r="K55"/>
  <c r="K53"/>
  <c r="K52"/>
  <c r="K51"/>
  <c r="K50"/>
  <c r="K49"/>
  <c r="K48"/>
  <c r="K45"/>
  <c r="K44"/>
  <c r="K43"/>
  <c r="K39"/>
  <c r="K38"/>
  <c r="K37"/>
  <c r="K35"/>
  <c r="K34"/>
  <c r="K33"/>
  <c r="K32"/>
  <c r="K28"/>
  <c r="K27"/>
  <c r="K26"/>
  <c r="K25"/>
  <c r="K24"/>
  <c r="K22"/>
  <c r="K21"/>
  <c r="K19"/>
  <c r="K18"/>
  <c r="N43" i="3"/>
  <c r="N48" i="4"/>
  <c r="N28"/>
  <c r="T47" i="7"/>
  <c r="T30"/>
  <c r="T29"/>
  <c r="K14" i="9"/>
  <c r="E57"/>
  <c r="E29"/>
  <c r="E20"/>
  <c r="N33" i="2"/>
  <c r="H15" i="9"/>
  <c r="N47" i="4"/>
  <c r="K15"/>
  <c r="N31" i="3"/>
  <c r="K15"/>
  <c r="E15" i="8"/>
  <c r="K62"/>
  <c r="H62"/>
  <c r="K62" i="7"/>
  <c r="S31"/>
  <c r="K30" i="9"/>
  <c r="S54" i="7"/>
  <c r="C62"/>
  <c r="R62" s="1"/>
  <c r="R54"/>
  <c r="I54" i="9" s="1"/>
  <c r="S15" i="7"/>
  <c r="R15"/>
  <c r="I15" i="9" s="1"/>
  <c r="R36" i="7"/>
  <c r="R17"/>
  <c r="H17" i="2"/>
  <c r="K47" i="9"/>
  <c r="K29"/>
  <c r="N30" i="2"/>
  <c r="K54" i="5"/>
  <c r="K54" i="4"/>
  <c r="K54" i="3"/>
  <c r="K56" i="1"/>
  <c r="N58"/>
  <c r="H56"/>
  <c r="E56"/>
  <c r="N56" s="1"/>
  <c r="H54" i="9"/>
  <c r="H56" i="8"/>
  <c r="H54"/>
  <c r="E56"/>
  <c r="E54"/>
  <c r="E12" i="9"/>
  <c r="E17" i="8"/>
  <c r="E11" i="9"/>
  <c r="T11" i="7"/>
  <c r="K12" i="9"/>
  <c r="K11"/>
  <c r="K56" i="7"/>
  <c r="K54"/>
  <c r="H54" i="3"/>
  <c r="K15" i="8"/>
  <c r="K56"/>
  <c r="E56" i="9" s="1"/>
  <c r="K54" i="8"/>
  <c r="E46" i="9"/>
  <c r="E56" i="7"/>
  <c r="E54"/>
  <c r="D62"/>
  <c r="N48" i="2"/>
  <c r="H62" i="7"/>
  <c r="K58" i="2"/>
  <c r="K56"/>
  <c r="N58"/>
  <c r="E56"/>
  <c r="N49"/>
  <c r="H56" i="7"/>
  <c r="H54"/>
  <c r="K46" i="9"/>
  <c r="H56" i="3"/>
  <c r="K56"/>
  <c r="K16" i="9"/>
  <c r="D31"/>
  <c r="N23" i="4"/>
  <c r="E23" i="9"/>
  <c r="D23"/>
  <c r="K23"/>
  <c r="K20"/>
  <c r="N23" i="5"/>
  <c r="N23" i="3"/>
  <c r="N25" i="1"/>
  <c r="H15" i="8"/>
  <c r="E13" i="9"/>
  <c r="E17"/>
  <c r="K15" i="7"/>
  <c r="E17"/>
  <c r="E15"/>
  <c r="K15" i="5"/>
  <c r="H15" i="3"/>
  <c r="N17"/>
  <c r="E15"/>
  <c r="N15" s="1"/>
  <c r="E17" i="2"/>
  <c r="N15"/>
  <c r="N19"/>
  <c r="E17" i="1"/>
  <c r="N17" s="1"/>
  <c r="N59" i="2"/>
  <c r="K57" i="9"/>
  <c r="K17" i="2"/>
  <c r="N17" s="1"/>
  <c r="H15" i="7"/>
  <c r="K13" i="9"/>
  <c r="N17" i="4"/>
  <c r="H15"/>
  <c r="N56"/>
  <c r="E54"/>
  <c r="E15"/>
  <c r="N15" s="1"/>
  <c r="H54"/>
  <c r="N54" s="1"/>
  <c r="N56" i="5"/>
  <c r="H54"/>
  <c r="N17"/>
  <c r="H15"/>
  <c r="H56" i="2"/>
  <c r="N56" s="1"/>
  <c r="N54" i="8"/>
  <c r="E54" i="9" s="1"/>
  <c r="N15" i="8"/>
  <c r="E15" i="9" s="1"/>
  <c r="E54" i="5"/>
  <c r="N54" s="1"/>
  <c r="E15"/>
  <c r="N15" s="1"/>
  <c r="E54" i="3"/>
  <c r="N54" s="1"/>
  <c r="D54" i="9"/>
  <c r="D15"/>
  <c r="C17"/>
  <c r="C62"/>
  <c r="C56"/>
  <c r="I62"/>
  <c r="M56" i="5"/>
  <c r="M56" i="4"/>
  <c r="M56" i="3"/>
  <c r="M58" i="2"/>
  <c r="L58" i="1"/>
  <c r="L64" s="1"/>
  <c r="M17" i="4"/>
  <c r="M36" i="8"/>
  <c r="N36" s="1"/>
  <c r="M62"/>
  <c r="N62" s="1"/>
  <c r="I11" i="9"/>
  <c r="I58"/>
  <c r="I56"/>
  <c r="I46"/>
  <c r="I43"/>
  <c r="I37"/>
  <c r="I29"/>
  <c r="I18"/>
  <c r="I17"/>
  <c r="I13"/>
  <c r="D36" i="7"/>
  <c r="G36"/>
  <c r="H36" s="1"/>
  <c r="J36"/>
  <c r="K36" s="1"/>
  <c r="D36" i="8"/>
  <c r="E36" s="1"/>
  <c r="G36"/>
  <c r="H36" s="1"/>
  <c r="J36"/>
  <c r="K36" s="1"/>
  <c r="D62"/>
  <c r="E62" s="1"/>
  <c r="G36" i="9"/>
  <c r="H36" s="1"/>
  <c r="G62"/>
  <c r="H62" s="1"/>
  <c r="J62" i="5"/>
  <c r="K62" s="1"/>
  <c r="G62"/>
  <c r="H62" s="1"/>
  <c r="M62"/>
  <c r="D62"/>
  <c r="E62" s="1"/>
  <c r="N62" s="1"/>
  <c r="J62" i="4"/>
  <c r="K62" s="1"/>
  <c r="G62"/>
  <c r="H62" s="1"/>
  <c r="M62"/>
  <c r="D62"/>
  <c r="E62" s="1"/>
  <c r="G62" i="3"/>
  <c r="H62" s="1"/>
  <c r="M62"/>
  <c r="D62"/>
  <c r="E62" s="1"/>
  <c r="N62" s="1"/>
  <c r="D64" i="2"/>
  <c r="E64" s="1"/>
  <c r="J64" i="1"/>
  <c r="K64" s="1"/>
  <c r="G64"/>
  <c r="H64" s="1"/>
  <c r="M64" i="2"/>
  <c r="G64"/>
  <c r="H64" s="1"/>
  <c r="N64" s="1"/>
  <c r="D64" i="1"/>
  <c r="E64" s="1"/>
  <c r="N64" s="1"/>
  <c r="M64"/>
  <c r="M36" i="5"/>
  <c r="D36"/>
  <c r="E36" s="1"/>
  <c r="G36"/>
  <c r="H36" s="1"/>
  <c r="J36"/>
  <c r="K36" s="1"/>
  <c r="M36" i="4"/>
  <c r="D36"/>
  <c r="E36" s="1"/>
  <c r="G36"/>
  <c r="H36" s="1"/>
  <c r="J36"/>
  <c r="K36" s="1"/>
  <c r="M36" i="3"/>
  <c r="D36"/>
  <c r="E36" s="1"/>
  <c r="G36"/>
  <c r="H36" s="1"/>
  <c r="J36"/>
  <c r="K36" s="1"/>
  <c r="M38" i="2"/>
  <c r="D38"/>
  <c r="E38" s="1"/>
  <c r="G38"/>
  <c r="H38" s="1"/>
  <c r="J38"/>
  <c r="K38" s="1"/>
  <c r="J19" i="1"/>
  <c r="K19" s="1"/>
  <c r="G19"/>
  <c r="H19" s="1"/>
  <c r="N19" s="1"/>
  <c r="D38"/>
  <c r="E38" s="1"/>
  <c r="N31" i="4" l="1"/>
  <c r="K31" i="9"/>
  <c r="J31"/>
  <c r="E61"/>
  <c r="E40"/>
  <c r="N61" i="5"/>
  <c r="N40"/>
  <c r="N61" i="4"/>
  <c r="N40"/>
  <c r="T61" i="7"/>
  <c r="T40"/>
  <c r="J23" i="9"/>
  <c r="J15"/>
  <c r="J54"/>
  <c r="T54" i="7"/>
  <c r="K54" i="9" s="1"/>
  <c r="T56" i="7"/>
  <c r="T15"/>
  <c r="K15" i="9" s="1"/>
  <c r="E62" i="7"/>
  <c r="T62" s="1"/>
  <c r="S62"/>
  <c r="E36"/>
  <c r="T36" s="1"/>
  <c r="S36"/>
  <c r="T17"/>
  <c r="K17" i="9" s="1"/>
  <c r="N56" i="3"/>
  <c r="E62" i="9"/>
  <c r="K62" s="1"/>
  <c r="K56"/>
  <c r="N36" i="4"/>
  <c r="E36" i="9"/>
  <c r="N36" i="3"/>
  <c r="N38" i="2"/>
  <c r="K36" i="9"/>
  <c r="N62" i="4"/>
  <c r="N36" i="5"/>
  <c r="D36" i="9"/>
  <c r="D62"/>
  <c r="C41"/>
  <c r="C36"/>
  <c r="I41"/>
  <c r="I36"/>
  <c r="M41" i="8"/>
  <c r="N41" s="1"/>
  <c r="G41" i="9"/>
  <c r="H41" s="1"/>
  <c r="J41" i="8"/>
  <c r="K41" s="1"/>
  <c r="G41"/>
  <c r="H41" s="1"/>
  <c r="D41"/>
  <c r="E41" s="1"/>
  <c r="J41" i="7"/>
  <c r="K41" s="1"/>
  <c r="G41"/>
  <c r="H41" s="1"/>
  <c r="D41"/>
  <c r="J41" i="5"/>
  <c r="K41" s="1"/>
  <c r="G41"/>
  <c r="H41" s="1"/>
  <c r="D41"/>
  <c r="E41" s="1"/>
  <c r="N41" s="1"/>
  <c r="M41"/>
  <c r="J41" i="4"/>
  <c r="K41" s="1"/>
  <c r="G41"/>
  <c r="H41" s="1"/>
  <c r="D41"/>
  <c r="E41" s="1"/>
  <c r="M41"/>
  <c r="J41" i="3"/>
  <c r="K41" s="1"/>
  <c r="G41"/>
  <c r="H41" s="1"/>
  <c r="D41"/>
  <c r="E41" s="1"/>
  <c r="N41" s="1"/>
  <c r="M41"/>
  <c r="J43" i="2"/>
  <c r="K43" s="1"/>
  <c r="G43"/>
  <c r="H43" s="1"/>
  <c r="D43"/>
  <c r="E43" s="1"/>
  <c r="M43"/>
  <c r="J38" i="1"/>
  <c r="K38" s="1"/>
  <c r="G38"/>
  <c r="H38" s="1"/>
  <c r="N38" s="1"/>
  <c r="D43"/>
  <c r="E43" s="1"/>
  <c r="K40" i="9" l="1"/>
  <c r="K61"/>
  <c r="J62"/>
  <c r="J36"/>
  <c r="E41" i="7"/>
  <c r="T41" s="1"/>
  <c r="S41"/>
  <c r="E41" i="9"/>
  <c r="N43" i="2"/>
  <c r="K41" i="9"/>
  <c r="N41" i="4"/>
  <c r="D41" i="9"/>
  <c r="J43" i="1"/>
  <c r="K43" s="1"/>
  <c r="G43"/>
  <c r="H43" s="1"/>
  <c r="N43" s="1"/>
  <c r="J41" i="9" l="1"/>
</calcChain>
</file>

<file path=xl/comments1.xml><?xml version="1.0" encoding="utf-8"?>
<comments xmlns="http://schemas.openxmlformats.org/spreadsheetml/2006/main">
  <authors>
    <author>Szerző</author>
  </authors>
  <commentList>
    <comment ref="H11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<sst xmlns="http://schemas.openxmlformats.org/spreadsheetml/2006/main" count="627" uniqueCount="128">
  <si>
    <t>Sorszám</t>
  </si>
  <si>
    <t xml:space="preserve">C Í M R E N D </t>
  </si>
  <si>
    <t>K I A D Á S O K</t>
  </si>
  <si>
    <t>Személyi juttatások</t>
  </si>
  <si>
    <t>Munkaadókat terhelő járulékok</t>
  </si>
  <si>
    <t>Dologi kiadások (áfá-val)</t>
  </si>
  <si>
    <t>Egyéb folyó kiadások</t>
  </si>
  <si>
    <t>Dologi és egyéb folyó kiadások összesen (3+4)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</si>
  <si>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</si>
  <si>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</si>
  <si>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</si>
  <si>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 xml:space="preserve">Támogatásértékű felhalmozási kiadás </t>
  </si>
  <si>
    <t>Előző évi előirányzat-maradvány, pénzmaradvány átadása</t>
  </si>
  <si>
    <t>Államháztartáson belüli támogatások és támogatás jellegű kiadások összesen (8+..+12)</t>
  </si>
  <si>
    <t>Működési célú pénzeszközátadás államháztartáson kívülre</t>
  </si>
  <si>
    <t>Felhalmozási célú pénzeszközátadás államháztartáson kívülre</t>
  </si>
  <si>
    <t>Társadalom, szociálpolitikai és egyéb juttatás, támogatás</t>
  </si>
  <si>
    <t>Ellátottak pénzbeli juttatásai</t>
  </si>
  <si>
    <t>Felújítási kiadások áfá-val</t>
  </si>
  <si>
    <t>Felhalmozási kiadások áfá-val</t>
  </si>
  <si>
    <t>Pénzügyi befektetések kiadásai</t>
  </si>
  <si>
    <t>Felhalmozási kiadások és pénzügyi befektetések (19+20)</t>
  </si>
  <si>
    <t>Felhalmozási célú támogatási kölcsön nyújtása</t>
  </si>
  <si>
    <t>Felhalmozási célú támogatási kölcsön törlesztése</t>
  </si>
  <si>
    <t>Általános tartalék</t>
  </si>
  <si>
    <t>Céltartalékok</t>
  </si>
  <si>
    <t>Hosszú lejáratú hitelek visszafízetése, törlesztése, kötvények beváltása</t>
  </si>
  <si>
    <t>Forgatási célú belföldi értékpapírok vásárlása</t>
  </si>
  <si>
    <t>B E V É T E L E K</t>
  </si>
  <si>
    <t>Intézményi működési bevételek összesen 
(működési célú pénzeszközátvétel Áht-n kívülről bevétellel együtt)</t>
  </si>
  <si>
    <t>Önkormányzatok sajátos működési bevételei</t>
  </si>
  <si>
    <t>Felhalmozási és tőkejellegű bevételek
 (pénzügyi befektetések, felhalmozási célú pénzeszközátvétel Áht-n kívülről bevételekkel együtt)</t>
  </si>
  <si>
    <t>Intézményi működési kiadások támogatása</t>
  </si>
  <si>
    <t>Intézményi felhalmozási kiadások támogatása</t>
  </si>
  <si>
    <t>Önkormányzatok költségvetési támogatása</t>
  </si>
  <si>
    <t xml:space="preserve">Támogatásértékű működési bevétel </t>
  </si>
  <si>
    <t xml:space="preserve">      ebből: TB-től átvett pénzeszköz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</si>
  <si>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</si>
  <si>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</si>
  <si>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</si>
  <si>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 xml:space="preserve">Támogatási kölcsönök, visszatérülések </t>
  </si>
  <si>
    <t>Hosszú lejáratú hitelek felvétele</t>
  </si>
  <si>
    <t>Forgatási célú belföldi értékpapírok értékesítése</t>
  </si>
  <si>
    <t>Költségvetési engedélyezett létszámkeret (fő)</t>
  </si>
  <si>
    <t>Likviditási célú hitelek felvétele</t>
  </si>
  <si>
    <t>Tárgyévi költségvetési kiadások összesen (7+13+14+..+18+21+22+..+25)</t>
  </si>
  <si>
    <t>Likviditási célú hitelek törlesztése</t>
  </si>
  <si>
    <t>Belföldi finanszírozás kiadásai  (27+28+29)</t>
  </si>
  <si>
    <t>Kiadások összesen (26+30)</t>
  </si>
  <si>
    <t>Támogatások, támogatásértékű bevételek, kiegészítések összesen (34+..+37+39+..+41)</t>
  </si>
  <si>
    <t>Finanszírozási bevételek (46+47+48)</t>
  </si>
  <si>
    <t>Baross Gábor Általános Iskola</t>
  </si>
  <si>
    <t>Alsóerdősori Bárdos Lajos Általános Iskola és Gimnázium</t>
  </si>
  <si>
    <t>Erzsébetvárosi Általános Iskola és Informatikai Szakközépiskola</t>
  </si>
  <si>
    <t>Janikovszky Éva Általános Iskola és Gimnázium</t>
  </si>
  <si>
    <t>Kópévár Óvoda</t>
  </si>
  <si>
    <t>2101-1</t>
  </si>
  <si>
    <t>2101-2</t>
  </si>
  <si>
    <t>Nefelejcs Óvoda</t>
  </si>
  <si>
    <t>Baross Gábor Általános Iskola Összesen</t>
  </si>
  <si>
    <t>Brunszvik Teréz Óvoda</t>
  </si>
  <si>
    <t>2102-2</t>
  </si>
  <si>
    <t>2102-1</t>
  </si>
  <si>
    <t>Alsóerdősori Bárdos Lajos Általános Iskola és Gimnázium Összesen</t>
  </si>
  <si>
    <t>2103-2</t>
  </si>
  <si>
    <t>2103-1</t>
  </si>
  <si>
    <t>Bóbita Óvoda</t>
  </si>
  <si>
    <t>Molnár Antal Zeneiskola</t>
  </si>
  <si>
    <t>Erzsébetvárosi Általános Iskola és Informatikai Szakközépiskola Összesen</t>
  </si>
  <si>
    <t>Magonc Óvoda</t>
  </si>
  <si>
    <t>Janikovszky Éva Általános Iskola és Gimnázium Összesen</t>
  </si>
  <si>
    <t>2104-2</t>
  </si>
  <si>
    <t>2105-2</t>
  </si>
  <si>
    <t>2105-1</t>
  </si>
  <si>
    <t>Csicsergő Óvoda</t>
  </si>
  <si>
    <t>Dob Óvoda</t>
  </si>
  <si>
    <t>Tárgyévi költségvetési bevételek összesen (31+..+33+42+43)</t>
  </si>
  <si>
    <t>Bevételek összesen (44+45+49)</t>
  </si>
  <si>
    <t>Budapest Főváros VII. Kerület Erzsébetváros Önkormányzata</t>
  </si>
  <si>
    <t>önállóan működő intézményei 2010. évi tervezett előirányzatai</t>
  </si>
  <si>
    <t>Magyar-Angol Kéttannyelvű Általános Iskola és Vendéglátó Szakiskola</t>
  </si>
  <si>
    <t>Magyar-Angol Kéttannyelvű Általános Iskola és Vendéglátó Szakiskola Összesen</t>
  </si>
  <si>
    <t>1110</t>
  </si>
  <si>
    <t>1120</t>
  </si>
  <si>
    <t>1130</t>
  </si>
  <si>
    <t>1140</t>
  </si>
  <si>
    <t>Belső-Erzsébetváros területi és nappali ellátás</t>
  </si>
  <si>
    <t>Külső-erzsébetváros területi, szakosított és nappali ellátás</t>
  </si>
  <si>
    <t>Központi irányítás + Áfa
 Nyár u.7.</t>
  </si>
  <si>
    <t>Központi irányításnál kiemelten kezelt feladatok (karbantartás, biztosítás)</t>
  </si>
  <si>
    <t>2008. évi korrigált eredeti előirányzat</t>
  </si>
  <si>
    <t>2009. évi előirányzat</t>
  </si>
  <si>
    <t>Index
2009/2008.</t>
  </si>
  <si>
    <t>1101=1110-1140</t>
  </si>
  <si>
    <t>1150</t>
  </si>
  <si>
    <t>1160</t>
  </si>
  <si>
    <t>1170</t>
  </si>
  <si>
    <t>ErISZ összesen</t>
  </si>
  <si>
    <t>Családsegítő szolgálat</t>
  </si>
  <si>
    <t>Gyermekjóléti központ
 (Alpár u.4.)</t>
  </si>
  <si>
    <t>1101-1=1150-1170</t>
  </si>
  <si>
    <t>1101-2</t>
  </si>
  <si>
    <t>1101</t>
  </si>
  <si>
    <t>SZOGYESZ Központi irányítás
 Dózsa György út 70.</t>
  </si>
  <si>
    <t>SZOGYESZ Összesen</t>
  </si>
  <si>
    <t>Erzsébetvárosi Egészségügyi Szolgálat</t>
  </si>
  <si>
    <t>ErISZ Mindösszesen</t>
  </si>
  <si>
    <t>1101=1110-1130</t>
  </si>
  <si>
    <t>2010. évi eredeti előirányzat</t>
  </si>
  <si>
    <t>Módosítás</t>
  </si>
  <si>
    <t>Módosított előirányzat</t>
  </si>
  <si>
    <t>a 33/2009. (XII. 18.) önkormányzati rendelet</t>
  </si>
  <si>
    <t>14. számú táblázat módosításához</t>
  </si>
  <si>
    <t>Előző évi pénzmaradvány igénybevétele (pénzforgalom nélküli bevételek)</t>
  </si>
  <si>
    <t>Erzsébetvárosi Nevelési Tanácsadó és Egységes Pedagógiai Szakszolgálat</t>
  </si>
  <si>
    <t>2010. évi érvényes előirányzat</t>
  </si>
  <si>
    <t>Irányító szerv alá tartozó költségvetési szerveknek folyósított működési támogatás</t>
  </si>
  <si>
    <t>Irányító szerv alá tartozó költségvetési szerveknek folyósított felhalmozási támogatás</t>
  </si>
  <si>
    <t>Bölcsődei ellátás</t>
  </si>
  <si>
    <t>Erzsébetvárosi Pedagógiai Szakmai Szolgáltató Intézmény "EPSZK"</t>
  </si>
  <si>
    <t>13. számú melléklet 1. oldal a .../2011. (...) önkormányzati rendelethez</t>
  </si>
  <si>
    <t>13. számú melléklet 2. oldal a .../2011. (...) önkormányzati rendelethez</t>
  </si>
  <si>
    <t>13. számú melléklet 3. oldal a .../2011. (...) önkormányzati rendelethez</t>
  </si>
  <si>
    <t>13. számú melléklet 4. oldal a .../2011. (...) önkormányzati rendelethez</t>
  </si>
  <si>
    <t>13. számú melléklet 5. oldal a .../2011. (...) önkormányzati rendelethez</t>
  </si>
  <si>
    <t>13. számú melléklet 6. oldal a .../2011. (...) önkormányzati rendelethez</t>
  </si>
  <si>
    <t>13. számú melléklet 7. oldal a .../2011. (...) önkormányzati rendelethez</t>
  </si>
  <si>
    <t>13. számú melléklet 8. oldal a .../2011. (...) önkormányzati rendelethez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</si>
</sst>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i/>
      <sz val="11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i/>
      <sz val="11"/>
      <name val="Arial CE"/>
      <charset val="238"/>
    </font>
    <font>
      <b/>
      <i/>
      <sz val="11"/>
      <name val="Arial CE"/>
      <family val="2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8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</cellStyleXfs>
  <cellXfs count="276"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3" fontId="4" fillId="0" borderId="12" xfId="0" applyNumberFormat="1" applyFont="1" applyBorder="1" applyAlignment="1">
      <alignment horizontal="right"/>
    </xf>
    <xf numFmtId="164" fontId="1" fillId="0" borderId="11" xfId="0" applyNumberFormat="1" applyFont="1" applyBorder="1" applyAlignment="1"/>
    <xf numFmtId="0" fontId="2" fillId="0" borderId="1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2" fillId="0" borderId="9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2" fillId="0" borderId="8" xfId="0" applyFont="1" applyFill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3" fontId="4" fillId="0" borderId="19" xfId="0" applyNumberFormat="1" applyFont="1" applyBorder="1" applyAlignment="1">
      <alignment horizontal="center"/>
    </xf>
    <xf numFmtId="3" fontId="4" fillId="0" borderId="28" xfId="0" applyNumberFormat="1" applyFont="1" applyBorder="1" applyAlignment="1">
      <alignment horizontal="center"/>
    </xf>
    <xf numFmtId="3" fontId="4" fillId="0" borderId="29" xfId="0" applyNumberFormat="1" applyFont="1" applyBorder="1" applyAlignment="1">
      <alignment horizontal="right"/>
    </xf>
    <xf numFmtId="3" fontId="4" fillId="0" borderId="30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center"/>
    </xf>
    <xf numFmtId="3" fontId="4" fillId="0" borderId="35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3" fontId="4" fillId="0" borderId="36" xfId="0" applyNumberFormat="1" applyFont="1" applyBorder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5" fillId="0" borderId="34" xfId="0" applyNumberFormat="1" applyFont="1" applyBorder="1" applyAlignment="1">
      <alignment horizontal="right"/>
    </xf>
    <xf numFmtId="3" fontId="6" fillId="0" borderId="31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5" fillId="0" borderId="39" xfId="0" applyNumberFormat="1" applyFont="1" applyBorder="1" applyAlignment="1">
      <alignment horizontal="right"/>
    </xf>
    <xf numFmtId="3" fontId="5" fillId="0" borderId="40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3" fontId="6" fillId="0" borderId="30" xfId="0" applyNumberFormat="1" applyFont="1" applyBorder="1" applyAlignment="1">
      <alignment horizontal="right"/>
    </xf>
    <xf numFmtId="3" fontId="6" fillId="0" borderId="18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center" wrapText="1"/>
    </xf>
    <xf numFmtId="3" fontId="2" fillId="0" borderId="41" xfId="0" applyNumberFormat="1" applyFont="1" applyBorder="1"/>
    <xf numFmtId="3" fontId="2" fillId="0" borderId="42" xfId="0" applyNumberFormat="1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8" fillId="0" borderId="0" xfId="1"/>
    <xf numFmtId="0" fontId="8" fillId="0" borderId="0" xfId="1" applyAlignment="1">
      <alignment horizontal="center"/>
    </xf>
    <xf numFmtId="0" fontId="8" fillId="0" borderId="0" xfId="1" applyAlignment="1">
      <alignment horizontal="right"/>
    </xf>
    <xf numFmtId="10" fontId="8" fillId="0" borderId="0" xfId="1" applyNumberFormat="1" applyAlignment="1">
      <alignment horizontal="right"/>
    </xf>
    <xf numFmtId="0" fontId="9" fillId="0" borderId="0" xfId="1" applyFont="1" applyAlignment="1"/>
    <xf numFmtId="0" fontId="8" fillId="0" borderId="12" xfId="1" applyBorder="1"/>
    <xf numFmtId="10" fontId="8" fillId="0" borderId="0" xfId="1" applyNumberFormat="1"/>
    <xf numFmtId="3" fontId="8" fillId="0" borderId="6" xfId="1" applyNumberFormat="1" applyFont="1" applyBorder="1" applyAlignment="1">
      <alignment horizontal="center"/>
    </xf>
    <xf numFmtId="3" fontId="8" fillId="0" borderId="34" xfId="1" applyNumberFormat="1" applyFont="1" applyBorder="1" applyAlignment="1">
      <alignment horizontal="center"/>
    </xf>
    <xf numFmtId="3" fontId="8" fillId="0" borderId="19" xfId="1" applyNumberFormat="1" applyFont="1" applyBorder="1" applyAlignment="1">
      <alignment horizontal="center"/>
    </xf>
    <xf numFmtId="3" fontId="8" fillId="0" borderId="7" xfId="1" applyNumberFormat="1" applyFont="1" applyBorder="1" applyAlignment="1">
      <alignment horizontal="center"/>
    </xf>
    <xf numFmtId="3" fontId="2" fillId="0" borderId="48" xfId="2" applyNumberFormat="1" applyFont="1" applyBorder="1"/>
    <xf numFmtId="3" fontId="2" fillId="0" borderId="43" xfId="1" applyNumberFormat="1" applyFont="1" applyBorder="1"/>
    <xf numFmtId="3" fontId="2" fillId="0" borderId="50" xfId="2" applyNumberFormat="1" applyFont="1" applyBorder="1"/>
    <xf numFmtId="10" fontId="2" fillId="0" borderId="27" xfId="3" applyNumberFormat="1" applyFont="1" applyBorder="1"/>
    <xf numFmtId="3" fontId="2" fillId="0" borderId="30" xfId="2" applyNumberFormat="1" applyFont="1" applyBorder="1"/>
    <xf numFmtId="3" fontId="2" fillId="0" borderId="18" xfId="1" applyNumberFormat="1" applyFont="1" applyBorder="1"/>
    <xf numFmtId="3" fontId="2" fillId="0" borderId="41" xfId="2" applyNumberFormat="1" applyFont="1" applyBorder="1"/>
    <xf numFmtId="10" fontId="2" fillId="0" borderId="24" xfId="3" applyNumberFormat="1" applyFont="1" applyBorder="1"/>
    <xf numFmtId="3" fontId="2" fillId="0" borderId="29" xfId="2" applyNumberFormat="1" applyFont="1" applyBorder="1"/>
    <xf numFmtId="3" fontId="2" fillId="0" borderId="52" xfId="2" applyNumberFormat="1" applyFont="1" applyBorder="1"/>
    <xf numFmtId="10" fontId="2" fillId="0" borderId="53" xfId="3" applyNumberFormat="1" applyFont="1" applyBorder="1"/>
    <xf numFmtId="3" fontId="2" fillId="0" borderId="44" xfId="1" applyNumberFormat="1" applyFont="1" applyBorder="1"/>
    <xf numFmtId="3" fontId="2" fillId="0" borderId="54" xfId="2" applyNumberFormat="1" applyFont="1" applyBorder="1"/>
    <xf numFmtId="3" fontId="2" fillId="0" borderId="42" xfId="2" applyNumberFormat="1" applyFont="1" applyBorder="1"/>
    <xf numFmtId="10" fontId="2" fillId="0" borderId="23" xfId="3" applyNumberFormat="1" applyFont="1" applyBorder="1"/>
    <xf numFmtId="3" fontId="3" fillId="0" borderId="30" xfId="2" applyNumberFormat="1" applyFont="1" applyBorder="1"/>
    <xf numFmtId="3" fontId="3" fillId="0" borderId="18" xfId="1" applyNumberFormat="1" applyFont="1" applyBorder="1"/>
    <xf numFmtId="3" fontId="3" fillId="0" borderId="41" xfId="2" applyNumberFormat="1" applyFont="1" applyBorder="1"/>
    <xf numFmtId="3" fontId="1" fillId="0" borderId="6" xfId="1" applyNumberFormat="1" applyFont="1" applyBorder="1"/>
    <xf numFmtId="3" fontId="1" fillId="0" borderId="34" xfId="1" applyNumberFormat="1" applyFont="1" applyBorder="1"/>
    <xf numFmtId="10" fontId="1" fillId="0" borderId="19" xfId="3" applyNumberFormat="1" applyFont="1" applyBorder="1"/>
    <xf numFmtId="3" fontId="2" fillId="0" borderId="58" xfId="1" applyNumberFormat="1" applyFont="1" applyBorder="1"/>
    <xf numFmtId="3" fontId="2" fillId="0" borderId="35" xfId="1" applyNumberFormat="1" applyFont="1" applyBorder="1"/>
    <xf numFmtId="3" fontId="2" fillId="0" borderId="55" xfId="1" applyNumberFormat="1" applyFont="1" applyBorder="1"/>
    <xf numFmtId="3" fontId="3" fillId="0" borderId="45" xfId="1" applyNumberFormat="1" applyFont="1" applyBorder="1"/>
    <xf numFmtId="3" fontId="3" fillId="0" borderId="43" xfId="1" applyNumberFormat="1" applyFont="1" applyBorder="1"/>
    <xf numFmtId="3" fontId="1" fillId="0" borderId="59" xfId="1" applyNumberFormat="1" applyFont="1" applyBorder="1"/>
    <xf numFmtId="3" fontId="1" fillId="0" borderId="44" xfId="1" applyNumberFormat="1" applyFont="1" applyBorder="1"/>
    <xf numFmtId="3" fontId="2" fillId="0" borderId="59" xfId="1" applyNumberFormat="1" applyFont="1" applyBorder="1"/>
    <xf numFmtId="3" fontId="1" fillId="0" borderId="60" xfId="1" applyNumberFormat="1" applyFont="1" applyBorder="1"/>
    <xf numFmtId="3" fontId="1" fillId="0" borderId="61" xfId="1" applyNumberFormat="1" applyFont="1" applyBorder="1"/>
    <xf numFmtId="10" fontId="1" fillId="0" borderId="62" xfId="3" applyNumberFormat="1" applyFont="1" applyBorder="1"/>
    <xf numFmtId="10" fontId="2" fillId="0" borderId="19" xfId="3" applyNumberFormat="1" applyFont="1" applyBorder="1"/>
    <xf numFmtId="3" fontId="1" fillId="0" borderId="45" xfId="1" applyNumberFormat="1" applyFont="1" applyBorder="1" applyAlignment="1">
      <alignment vertical="center"/>
    </xf>
    <xf numFmtId="3" fontId="1" fillId="0" borderId="43" xfId="1" applyNumberFormat="1" applyFont="1" applyBorder="1" applyAlignment="1">
      <alignment vertical="center"/>
    </xf>
    <xf numFmtId="10" fontId="1" fillId="0" borderId="20" xfId="3" applyNumberFormat="1" applyFont="1" applyBorder="1" applyAlignment="1">
      <alignment vertical="center"/>
    </xf>
    <xf numFmtId="3" fontId="2" fillId="0" borderId="15" xfId="1" applyNumberFormat="1" applyFont="1" applyBorder="1"/>
    <xf numFmtId="3" fontId="2" fillId="0" borderId="64" xfId="1" applyNumberFormat="1" applyFont="1" applyBorder="1"/>
    <xf numFmtId="3" fontId="2" fillId="0" borderId="35" xfId="2" applyNumberFormat="1" applyFont="1" applyBorder="1"/>
    <xf numFmtId="3" fontId="3" fillId="0" borderId="29" xfId="2" applyNumberFormat="1" applyFont="1" applyBorder="1"/>
    <xf numFmtId="10" fontId="3" fillId="0" borderId="24" xfId="3" applyNumberFormat="1" applyFont="1" applyBorder="1"/>
    <xf numFmtId="3" fontId="3" fillId="0" borderId="35" xfId="2" applyNumberFormat="1" applyFont="1" applyBorder="1"/>
    <xf numFmtId="10" fontId="2" fillId="0" borderId="65" xfId="3" applyNumberFormat="1" applyFont="1" applyBorder="1"/>
    <xf numFmtId="3" fontId="2" fillId="0" borderId="54" xfId="1" applyNumberFormat="1" applyFont="1" applyBorder="1"/>
    <xf numFmtId="3" fontId="1" fillId="0" borderId="55" xfId="1" applyNumberFormat="1" applyFont="1" applyBorder="1"/>
    <xf numFmtId="3" fontId="10" fillId="0" borderId="18" xfId="1" applyNumberFormat="1" applyFont="1" applyBorder="1"/>
    <xf numFmtId="10" fontId="10" fillId="0" borderId="24" xfId="3" applyNumberFormat="1" applyFont="1" applyBorder="1"/>
    <xf numFmtId="0" fontId="11" fillId="0" borderId="0" xfId="1" applyFont="1"/>
    <xf numFmtId="3" fontId="1" fillId="0" borderId="58" xfId="1" applyNumberFormat="1" applyFont="1" applyBorder="1"/>
    <xf numFmtId="3" fontId="3" fillId="0" borderId="35" xfId="1" applyNumberFormat="1" applyFont="1" applyBorder="1"/>
    <xf numFmtId="10" fontId="3" fillId="0" borderId="23" xfId="3" applyNumberFormat="1" applyFont="1" applyBorder="1"/>
    <xf numFmtId="3" fontId="1" fillId="0" borderId="14" xfId="1" applyNumberFormat="1" applyFont="1" applyBorder="1"/>
    <xf numFmtId="3" fontId="1" fillId="0" borderId="40" xfId="1" applyNumberFormat="1" applyFont="1" applyBorder="1"/>
    <xf numFmtId="10" fontId="1" fillId="0" borderId="20" xfId="3" applyNumberFormat="1" applyFont="1" applyBorder="1"/>
    <xf numFmtId="10" fontId="1" fillId="0" borderId="66" xfId="3" applyNumberFormat="1" applyFont="1" applyBorder="1"/>
    <xf numFmtId="3" fontId="2" fillId="0" borderId="45" xfId="1" applyNumberFormat="1" applyFont="1" applyBorder="1"/>
    <xf numFmtId="10" fontId="1" fillId="0" borderId="21" xfId="3" applyNumberFormat="1" applyFont="1" applyBorder="1"/>
    <xf numFmtId="0" fontId="12" fillId="0" borderId="0" xfId="1" applyFont="1"/>
    <xf numFmtId="3" fontId="12" fillId="0" borderId="0" xfId="1" applyNumberFormat="1" applyFont="1"/>
    <xf numFmtId="10" fontId="12" fillId="0" borderId="0" xfId="1" applyNumberFormat="1" applyFont="1"/>
    <xf numFmtId="0" fontId="13" fillId="0" borderId="0" xfId="1" applyFont="1"/>
    <xf numFmtId="3" fontId="13" fillId="0" borderId="0" xfId="1" applyNumberFormat="1" applyFont="1"/>
    <xf numFmtId="10" fontId="13" fillId="0" borderId="0" xfId="1" applyNumberFormat="1" applyFont="1"/>
    <xf numFmtId="0" fontId="8" fillId="0" borderId="0" xfId="1" applyAlignment="1">
      <alignment horizontal="left"/>
    </xf>
    <xf numFmtId="3" fontId="12" fillId="0" borderId="61" xfId="1" applyNumberFormat="1" applyFont="1" applyFill="1" applyBorder="1"/>
    <xf numFmtId="3" fontId="12" fillId="0" borderId="18" xfId="1" applyNumberFormat="1" applyFont="1" applyFill="1" applyBorder="1"/>
    <xf numFmtId="3" fontId="14" fillId="0" borderId="36" xfId="1" applyNumberFormat="1" applyFont="1" applyFill="1" applyBorder="1"/>
    <xf numFmtId="3" fontId="15" fillId="0" borderId="43" xfId="1" applyNumberFormat="1" applyFont="1" applyFill="1" applyBorder="1"/>
    <xf numFmtId="3" fontId="16" fillId="0" borderId="18" xfId="1" applyNumberFormat="1" applyFont="1" applyFill="1" applyBorder="1"/>
    <xf numFmtId="3" fontId="14" fillId="0" borderId="18" xfId="1" applyNumberFormat="1" applyFont="1" applyFill="1" applyBorder="1"/>
    <xf numFmtId="3" fontId="17" fillId="0" borderId="35" xfId="1" applyNumberFormat="1" applyFont="1" applyFill="1" applyBorder="1"/>
    <xf numFmtId="3" fontId="16" fillId="0" borderId="35" xfId="1" applyNumberFormat="1" applyFont="1" applyFill="1" applyBorder="1"/>
    <xf numFmtId="3" fontId="15" fillId="0" borderId="36" xfId="1" applyNumberFormat="1" applyFont="1" applyFill="1" applyBorder="1"/>
    <xf numFmtId="3" fontId="15" fillId="0" borderId="61" xfId="1" applyNumberFormat="1" applyFont="1" applyFill="1" applyBorder="1"/>
    <xf numFmtId="3" fontId="12" fillId="0" borderId="44" xfId="1" applyNumberFormat="1" applyFont="1" applyFill="1" applyBorder="1"/>
    <xf numFmtId="3" fontId="15" fillId="0" borderId="34" xfId="1" applyNumberFormat="1" applyFont="1" applyFill="1" applyBorder="1"/>
    <xf numFmtId="3" fontId="18" fillId="0" borderId="43" xfId="1" applyNumberFormat="1" applyFont="1" applyFill="1" applyBorder="1" applyAlignment="1">
      <alignment vertical="center"/>
    </xf>
    <xf numFmtId="3" fontId="12" fillId="0" borderId="68" xfId="1" applyNumberFormat="1" applyFont="1" applyFill="1" applyBorder="1"/>
    <xf numFmtId="3" fontId="12" fillId="0" borderId="36" xfId="1" applyNumberFormat="1" applyFont="1" applyFill="1" applyBorder="1"/>
    <xf numFmtId="3" fontId="17" fillId="0" borderId="43" xfId="1" applyNumberFormat="1" applyFont="1" applyFill="1" applyBorder="1"/>
    <xf numFmtId="3" fontId="19" fillId="0" borderId="18" xfId="1" applyNumberFormat="1" applyFont="1" applyFill="1" applyBorder="1"/>
    <xf numFmtId="3" fontId="20" fillId="0" borderId="36" xfId="1" applyNumberFormat="1" applyFont="1" applyFill="1" applyBorder="1"/>
    <xf numFmtId="3" fontId="18" fillId="0" borderId="69" xfId="1" applyNumberFormat="1" applyFont="1" applyFill="1" applyBorder="1"/>
    <xf numFmtId="3" fontId="12" fillId="0" borderId="37" xfId="1" applyNumberFormat="1" applyFont="1" applyFill="1" applyBorder="1"/>
    <xf numFmtId="0" fontId="22" fillId="0" borderId="0" xfId="1" applyFont="1" applyAlignment="1">
      <alignment horizontal="right"/>
    </xf>
    <xf numFmtId="3" fontId="4" fillId="0" borderId="23" xfId="0" applyNumberFormat="1" applyFont="1" applyBorder="1" applyAlignment="1">
      <alignment horizontal="right"/>
    </xf>
    <xf numFmtId="3" fontId="4" fillId="0" borderId="24" xfId="0" applyNumberFormat="1" applyFont="1" applyBorder="1" applyAlignment="1">
      <alignment horizontal="right"/>
    </xf>
    <xf numFmtId="3" fontId="6" fillId="0" borderId="25" xfId="0" applyNumberFormat="1" applyFont="1" applyBorder="1" applyAlignment="1">
      <alignment horizontal="right"/>
    </xf>
    <xf numFmtId="3" fontId="5" fillId="0" borderId="19" xfId="0" applyNumberFormat="1" applyFont="1" applyBorder="1" applyAlignment="1">
      <alignment horizontal="right"/>
    </xf>
    <xf numFmtId="3" fontId="4" fillId="0" borderId="25" xfId="0" applyNumberFormat="1" applyFont="1" applyBorder="1" applyAlignment="1">
      <alignment horizontal="right"/>
    </xf>
    <xf numFmtId="3" fontId="5" fillId="0" borderId="20" xfId="0" applyNumberFormat="1" applyFont="1" applyBorder="1" applyAlignment="1">
      <alignment horizontal="right"/>
    </xf>
    <xf numFmtId="3" fontId="4" fillId="0" borderId="22" xfId="0" applyNumberFormat="1" applyFont="1" applyBorder="1" applyAlignment="1">
      <alignment horizontal="right"/>
    </xf>
    <xf numFmtId="3" fontId="6" fillId="0" borderId="24" xfId="0" applyNumberFormat="1" applyFont="1" applyBorder="1" applyAlignment="1">
      <alignment horizontal="right"/>
    </xf>
    <xf numFmtId="3" fontId="2" fillId="0" borderId="49" xfId="3" applyNumberFormat="1" applyFont="1" applyBorder="1"/>
    <xf numFmtId="3" fontId="2" fillId="0" borderId="51" xfId="3" applyNumberFormat="1" applyFont="1" applyBorder="1"/>
    <xf numFmtId="3" fontId="2" fillId="0" borderId="56" xfId="3" applyNumberFormat="1" applyFont="1" applyBorder="1"/>
    <xf numFmtId="3" fontId="2" fillId="0" borderId="57" xfId="3" applyNumberFormat="1" applyFont="1" applyBorder="1"/>
    <xf numFmtId="3" fontId="2" fillId="0" borderId="23" xfId="3" applyNumberFormat="1" applyFont="1" applyBorder="1"/>
    <xf numFmtId="3" fontId="2" fillId="0" borderId="24" xfId="3" applyNumberFormat="1" applyFont="1" applyBorder="1"/>
    <xf numFmtId="3" fontId="2" fillId="0" borderId="53" xfId="3" applyNumberFormat="1" applyFont="1" applyBorder="1"/>
    <xf numFmtId="3" fontId="1" fillId="0" borderId="19" xfId="3" applyNumberFormat="1" applyFont="1" applyBorder="1"/>
    <xf numFmtId="3" fontId="1" fillId="0" borderId="62" xfId="3" applyNumberFormat="1" applyFont="1" applyBorder="1"/>
    <xf numFmtId="3" fontId="2" fillId="0" borderId="19" xfId="3" applyNumberFormat="1" applyFont="1" applyBorder="1"/>
    <xf numFmtId="3" fontId="1" fillId="0" borderId="20" xfId="3" applyNumberFormat="1" applyFont="1" applyBorder="1" applyAlignment="1">
      <alignment vertical="center"/>
    </xf>
    <xf numFmtId="3" fontId="2" fillId="0" borderId="23" xfId="2" applyNumberFormat="1" applyFont="1" applyBorder="1"/>
    <xf numFmtId="3" fontId="3" fillId="0" borderId="23" xfId="2" applyNumberFormat="1" applyFont="1" applyBorder="1"/>
    <xf numFmtId="3" fontId="2" fillId="0" borderId="53" xfId="2" applyNumberFormat="1" applyFont="1" applyBorder="1"/>
    <xf numFmtId="3" fontId="10" fillId="0" borderId="24" xfId="3" applyNumberFormat="1" applyFont="1" applyBorder="1"/>
    <xf numFmtId="3" fontId="3" fillId="0" borderId="23" xfId="3" applyNumberFormat="1" applyFont="1" applyBorder="1"/>
    <xf numFmtId="3" fontId="1" fillId="0" borderId="20" xfId="3" applyNumberFormat="1" applyFont="1" applyBorder="1"/>
    <xf numFmtId="3" fontId="1" fillId="0" borderId="21" xfId="3" applyNumberFormat="1" applyFont="1" applyBorder="1"/>
    <xf numFmtId="3" fontId="2" fillId="0" borderId="27" xfId="3" applyNumberFormat="1" applyFont="1" applyBorder="1"/>
    <xf numFmtId="3" fontId="3" fillId="0" borderId="24" xfId="3" applyNumberFormat="1" applyFont="1" applyBorder="1"/>
    <xf numFmtId="3" fontId="2" fillId="0" borderId="65" xfId="3" applyNumberFormat="1" applyFont="1" applyBorder="1"/>
    <xf numFmtId="3" fontId="1" fillId="0" borderId="63" xfId="3" applyNumberFormat="1" applyFont="1" applyBorder="1"/>
    <xf numFmtId="3" fontId="12" fillId="0" borderId="62" xfId="3" applyNumberFormat="1" applyFont="1" applyFill="1" applyBorder="1"/>
    <xf numFmtId="3" fontId="12" fillId="0" borderId="24" xfId="3" applyNumberFormat="1" applyFont="1" applyFill="1" applyBorder="1"/>
    <xf numFmtId="3" fontId="12" fillId="0" borderId="25" xfId="3" applyNumberFormat="1" applyFont="1" applyFill="1" applyBorder="1"/>
    <xf numFmtId="3" fontId="15" fillId="0" borderId="53" xfId="3" applyNumberFormat="1" applyFont="1" applyFill="1" applyBorder="1"/>
    <xf numFmtId="3" fontId="16" fillId="0" borderId="24" xfId="3" applyNumberFormat="1" applyFont="1" applyFill="1" applyBorder="1"/>
    <xf numFmtId="3" fontId="17" fillId="0" borderId="23" xfId="3" applyNumberFormat="1" applyFont="1" applyFill="1" applyBorder="1"/>
    <xf numFmtId="3" fontId="16" fillId="0" borderId="23" xfId="3" applyNumberFormat="1" applyFont="1" applyFill="1" applyBorder="1"/>
    <xf numFmtId="3" fontId="12" fillId="0" borderId="65" xfId="3" applyNumberFormat="1" applyFont="1" applyFill="1" applyBorder="1"/>
    <xf numFmtId="3" fontId="15" fillId="0" borderId="19" xfId="3" applyNumberFormat="1" applyFont="1" applyFill="1" applyBorder="1"/>
    <xf numFmtId="3" fontId="18" fillId="0" borderId="67" xfId="3" applyNumberFormat="1" applyFont="1" applyFill="1" applyBorder="1" applyAlignment="1">
      <alignment vertical="center"/>
    </xf>
    <xf numFmtId="3" fontId="12" fillId="0" borderId="53" xfId="3" applyNumberFormat="1" applyFont="1" applyFill="1" applyBorder="1"/>
    <xf numFmtId="3" fontId="14" fillId="0" borderId="24" xfId="3" applyNumberFormat="1" applyFont="1" applyFill="1" applyBorder="1"/>
    <xf numFmtId="3" fontId="17" fillId="0" borderId="53" xfId="3" applyNumberFormat="1" applyFont="1" applyFill="1" applyBorder="1"/>
    <xf numFmtId="3" fontId="19" fillId="0" borderId="24" xfId="3" applyNumberFormat="1" applyFont="1" applyFill="1" applyBorder="1"/>
    <xf numFmtId="3" fontId="20" fillId="0" borderId="25" xfId="3" applyNumberFormat="1" applyFont="1" applyFill="1" applyBorder="1"/>
    <xf numFmtId="3" fontId="18" fillId="0" borderId="70" xfId="3" applyNumberFormat="1" applyFont="1" applyFill="1" applyBorder="1"/>
    <xf numFmtId="3" fontId="1" fillId="0" borderId="66" xfId="3" applyNumberFormat="1" applyFont="1" applyBorder="1"/>
    <xf numFmtId="2" fontId="4" fillId="0" borderId="28" xfId="0" applyNumberFormat="1" applyFont="1" applyBorder="1" applyAlignment="1">
      <alignment horizontal="right"/>
    </xf>
    <xf numFmtId="2" fontId="4" fillId="0" borderId="34" xfId="0" applyNumberFormat="1" applyFont="1" applyBorder="1" applyAlignment="1">
      <alignment horizontal="right"/>
    </xf>
    <xf numFmtId="2" fontId="4" fillId="0" borderId="19" xfId="0" applyNumberFormat="1" applyFont="1" applyBorder="1" applyAlignment="1">
      <alignment horizontal="right"/>
    </xf>
    <xf numFmtId="2" fontId="2" fillId="0" borderId="34" xfId="1" applyNumberFormat="1" applyFont="1" applyBorder="1"/>
    <xf numFmtId="2" fontId="2" fillId="0" borderId="19" xfId="3" applyNumberFormat="1" applyFont="1" applyBorder="1"/>
    <xf numFmtId="2" fontId="1" fillId="0" borderId="6" xfId="1" applyNumberFormat="1" applyFont="1" applyBorder="1"/>
    <xf numFmtId="2" fontId="2" fillId="0" borderId="6" xfId="1" applyNumberFormat="1" applyFont="1" applyBorder="1"/>
    <xf numFmtId="2" fontId="12" fillId="0" borderId="37" xfId="1" applyNumberFormat="1" applyFont="1" applyFill="1" applyBorder="1"/>
    <xf numFmtId="2" fontId="12" fillId="0" borderId="19" xfId="3" applyNumberFormat="1" applyFont="1" applyFill="1" applyBorder="1"/>
    <xf numFmtId="0" fontId="21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22" fillId="0" borderId="0" xfId="1" applyFont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21" fillId="0" borderId="0" xfId="0" applyFont="1" applyAlignment="1">
      <alignment horizontal="right" wrapText="1"/>
    </xf>
    <xf numFmtId="0" fontId="2" fillId="0" borderId="5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49" fontId="5" fillId="0" borderId="7" xfId="0" applyNumberFormat="1" applyFont="1" applyBorder="1" applyAlignment="1">
      <alignment horizontal="center"/>
    </xf>
    <xf numFmtId="49" fontId="5" fillId="0" borderId="19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21" fillId="0" borderId="0" xfId="0" applyFont="1" applyAlignment="1">
      <alignment horizontal="right"/>
    </xf>
    <xf numFmtId="0" fontId="1" fillId="0" borderId="1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/>
    </xf>
    <xf numFmtId="0" fontId="1" fillId="0" borderId="45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49" fontId="1" fillId="0" borderId="6" xfId="1" applyNumberFormat="1" applyFont="1" applyBorder="1" applyAlignment="1">
      <alignment horizontal="center" vertical="center"/>
    </xf>
    <xf numFmtId="49" fontId="1" fillId="0" borderId="7" xfId="1" applyNumberFormat="1" applyFont="1" applyBorder="1" applyAlignment="1">
      <alignment horizontal="center" vertical="center"/>
    </xf>
    <xf numFmtId="49" fontId="1" fillId="0" borderId="19" xfId="1" applyNumberFormat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0" fontId="2" fillId="0" borderId="26" xfId="1" applyFont="1" applyBorder="1" applyAlignment="1">
      <alignment wrapText="1"/>
    </xf>
    <xf numFmtId="0" fontId="2" fillId="0" borderId="27" xfId="1" applyFont="1" applyBorder="1" applyAlignment="1">
      <alignment wrapText="1"/>
    </xf>
    <xf numFmtId="0" fontId="2" fillId="0" borderId="5" xfId="1" applyFont="1" applyBorder="1" applyAlignment="1">
      <alignment wrapText="1"/>
    </xf>
    <xf numFmtId="0" fontId="2" fillId="0" borderId="12" xfId="1" applyFont="1" applyBorder="1" applyAlignment="1">
      <alignment wrapText="1"/>
    </xf>
    <xf numFmtId="0" fontId="2" fillId="0" borderId="21" xfId="1" applyFont="1" applyBorder="1" applyAlignment="1">
      <alignment wrapText="1"/>
    </xf>
    <xf numFmtId="0" fontId="1" fillId="0" borderId="26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/>
    </xf>
    <xf numFmtId="0" fontId="1" fillId="0" borderId="7" xfId="1" applyFont="1" applyBorder="1" applyAlignment="1">
      <alignment horizontal="center"/>
    </xf>
    <xf numFmtId="0" fontId="1" fillId="0" borderId="38" xfId="2" applyFont="1" applyBorder="1" applyAlignment="1">
      <alignment horizontal="center" vertical="center" wrapText="1"/>
    </xf>
    <xf numFmtId="0" fontId="1" fillId="0" borderId="37" xfId="2" applyFont="1" applyBorder="1" applyAlignment="1">
      <alignment horizontal="center" vertical="center" wrapText="1"/>
    </xf>
    <xf numFmtId="0" fontId="1" fillId="0" borderId="33" xfId="2" applyFont="1" applyBorder="1" applyAlignment="1">
      <alignment horizontal="center" vertical="center" wrapText="1"/>
    </xf>
    <xf numFmtId="0" fontId="1" fillId="0" borderId="46" xfId="2" applyFont="1" applyBorder="1" applyAlignment="1">
      <alignment horizontal="center" vertical="center" wrapText="1"/>
    </xf>
    <xf numFmtId="0" fontId="22" fillId="0" borderId="0" xfId="1" applyFont="1" applyAlignment="1">
      <alignment horizontal="right"/>
    </xf>
    <xf numFmtId="10" fontId="1" fillId="0" borderId="27" xfId="2" applyNumberFormat="1" applyFont="1" applyBorder="1" applyAlignment="1">
      <alignment horizontal="center" vertical="center" wrapText="1"/>
    </xf>
    <xf numFmtId="10" fontId="1" fillId="0" borderId="47" xfId="2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right"/>
    </xf>
  </cellXfs>
  <cellStyles count="4">
    <cellStyle name="Normál" xfId="0" builtinId="0"/>
    <cellStyle name="Normál 2" xfId="1"/>
    <cellStyle name="Normál_részb._önáll._Címrend_2006_Gabor" xfId="2"/>
    <cellStyle name="Százalék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6"/>
  <sheetViews>
    <sheetView view="pageBreakPreview" zoomScale="80" zoomScaleNormal="80" zoomScaleSheetLayoutView="80" workbookViewId="0">
      <pane xSplit="2" ySplit="11" topLeftCell="J12" activePane="bottomRight" state="frozen"/>
      <selection activeCell="B13" sqref="B13"/>
      <selection pane="topRight" activeCell="B13" sqref="B13"/>
      <selection pane="bottomLeft" activeCell="B13" sqref="B13"/>
      <selection pane="bottomRight" activeCell="J1" sqref="J1:N1"/>
    </sheetView>
  </sheetViews>
  <sheetFormatPr defaultRowHeight="15"/>
  <cols>
    <col min="1" max="1" width="11.7109375" bestFit="1" customWidth="1"/>
    <col min="2" max="2" width="93.140625" bestFit="1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51"/>
      <c r="B1" s="51"/>
      <c r="C1" s="56"/>
      <c r="D1" s="56"/>
      <c r="E1" s="56"/>
      <c r="F1" s="55"/>
      <c r="G1" s="55"/>
      <c r="H1" s="52"/>
      <c r="I1" s="52"/>
      <c r="J1" s="214" t="s">
        <v>120</v>
      </c>
      <c r="K1" s="214"/>
      <c r="L1" s="214"/>
      <c r="M1" s="214"/>
      <c r="N1" s="214"/>
    </row>
    <row r="2" spans="1:14" ht="15" customHeight="1">
      <c r="A2" s="51"/>
      <c r="B2" s="51"/>
      <c r="C2" s="56"/>
      <c r="D2" s="56"/>
      <c r="E2" s="56"/>
      <c r="F2" s="210"/>
      <c r="G2" s="210"/>
      <c r="H2" s="210"/>
      <c r="I2" s="210"/>
      <c r="J2" s="210"/>
      <c r="K2" s="209"/>
      <c r="L2" s="214" t="s">
        <v>111</v>
      </c>
      <c r="M2" s="214"/>
      <c r="N2" s="214"/>
    </row>
    <row r="3" spans="1:14" ht="15" customHeight="1">
      <c r="A3" s="51"/>
      <c r="B3" s="51"/>
      <c r="C3" s="56"/>
      <c r="D3" s="56"/>
      <c r="E3" s="56"/>
      <c r="F3" s="210"/>
      <c r="G3" s="210"/>
      <c r="H3" s="210"/>
      <c r="I3" s="210"/>
      <c r="J3" s="210"/>
      <c r="K3" s="209"/>
      <c r="L3" s="214" t="s">
        <v>112</v>
      </c>
      <c r="M3" s="214"/>
      <c r="N3" s="214"/>
    </row>
    <row r="4" spans="1:14" ht="42" customHeight="1">
      <c r="A4" s="247" t="s">
        <v>78</v>
      </c>
      <c r="B4" s="247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</row>
    <row r="5" spans="1:14" ht="18.75">
      <c r="A5" s="247" t="s">
        <v>79</v>
      </c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</row>
    <row r="6" spans="1:14" ht="15.75" thickBot="1"/>
    <row r="7" spans="1:14" ht="16.5" thickBot="1">
      <c r="A7" s="217" t="s">
        <v>0</v>
      </c>
      <c r="B7" s="220" t="s">
        <v>1</v>
      </c>
      <c r="C7" s="241">
        <v>2101</v>
      </c>
      <c r="D7" s="242"/>
      <c r="E7" s="243"/>
      <c r="F7" s="241" t="s">
        <v>56</v>
      </c>
      <c r="G7" s="242"/>
      <c r="H7" s="243"/>
      <c r="I7" s="244" t="s">
        <v>57</v>
      </c>
      <c r="J7" s="245"/>
      <c r="K7" s="246"/>
      <c r="L7" s="241">
        <v>2101</v>
      </c>
      <c r="M7" s="242"/>
      <c r="N7" s="243"/>
    </row>
    <row r="8" spans="1:14" ht="15" customHeight="1">
      <c r="A8" s="218"/>
      <c r="B8" s="221"/>
      <c r="C8" s="233" t="s">
        <v>51</v>
      </c>
      <c r="D8" s="234"/>
      <c r="E8" s="231"/>
      <c r="F8" s="233" t="s">
        <v>55</v>
      </c>
      <c r="G8" s="234"/>
      <c r="H8" s="234"/>
      <c r="I8" s="233" t="s">
        <v>58</v>
      </c>
      <c r="J8" s="234"/>
      <c r="K8" s="231"/>
      <c r="L8" s="233" t="s">
        <v>59</v>
      </c>
      <c r="M8" s="234"/>
      <c r="N8" s="231"/>
    </row>
    <row r="9" spans="1:14" ht="51.75" customHeight="1" thickBot="1">
      <c r="A9" s="218"/>
      <c r="B9" s="221"/>
      <c r="C9" s="235"/>
      <c r="D9" s="236"/>
      <c r="E9" s="232"/>
      <c r="F9" s="235"/>
      <c r="G9" s="236"/>
      <c r="H9" s="236"/>
      <c r="I9" s="235"/>
      <c r="J9" s="236"/>
      <c r="K9" s="232"/>
      <c r="L9" s="235"/>
      <c r="M9" s="236"/>
      <c r="N9" s="232"/>
    </row>
    <row r="10" spans="1:14" ht="15" customHeight="1">
      <c r="A10" s="218"/>
      <c r="B10" s="221"/>
      <c r="C10" s="237" t="s">
        <v>115</v>
      </c>
      <c r="D10" s="239" t="s">
        <v>109</v>
      </c>
      <c r="E10" s="231" t="s">
        <v>110</v>
      </c>
      <c r="F10" s="237" t="s">
        <v>115</v>
      </c>
      <c r="G10" s="239" t="s">
        <v>109</v>
      </c>
      <c r="H10" s="231" t="s">
        <v>110</v>
      </c>
      <c r="I10" s="237" t="s">
        <v>115</v>
      </c>
      <c r="J10" s="239" t="s">
        <v>109</v>
      </c>
      <c r="K10" s="231" t="s">
        <v>110</v>
      </c>
      <c r="L10" s="237" t="s">
        <v>115</v>
      </c>
      <c r="M10" s="239" t="s">
        <v>109</v>
      </c>
      <c r="N10" s="231" t="s">
        <v>110</v>
      </c>
    </row>
    <row r="11" spans="1:14" ht="44.25" customHeight="1" thickBot="1">
      <c r="A11" s="219"/>
      <c r="B11" s="222"/>
      <c r="C11" s="238"/>
      <c r="D11" s="240"/>
      <c r="E11" s="232"/>
      <c r="F11" s="238"/>
      <c r="G11" s="240"/>
      <c r="H11" s="232"/>
      <c r="I11" s="238"/>
      <c r="J11" s="240"/>
      <c r="K11" s="232"/>
      <c r="L11" s="238"/>
      <c r="M11" s="240"/>
      <c r="N11" s="232"/>
    </row>
    <row r="12" spans="1:14" ht="16.5" thickBot="1">
      <c r="A12" s="223" t="s">
        <v>2</v>
      </c>
      <c r="B12" s="224"/>
      <c r="C12" s="32">
        <f>1</f>
        <v>1</v>
      </c>
      <c r="D12" s="36">
        <f t="shared" ref="D12:E12" si="0">+C12+1</f>
        <v>2</v>
      </c>
      <c r="E12" s="31">
        <f t="shared" si="0"/>
        <v>3</v>
      </c>
      <c r="F12" s="32">
        <v>4</v>
      </c>
      <c r="G12" s="36">
        <v>5</v>
      </c>
      <c r="H12" s="31">
        <v>6</v>
      </c>
      <c r="I12" s="32">
        <v>7</v>
      </c>
      <c r="J12" s="36">
        <v>8</v>
      </c>
      <c r="K12" s="31">
        <v>9</v>
      </c>
      <c r="L12" s="32">
        <v>10</v>
      </c>
      <c r="M12" s="36">
        <v>11</v>
      </c>
      <c r="N12" s="31">
        <v>12</v>
      </c>
    </row>
    <row r="13" spans="1:14" ht="15.75">
      <c r="A13" s="1">
        <v>1</v>
      </c>
      <c r="B13" s="21" t="s">
        <v>3</v>
      </c>
      <c r="C13" s="37">
        <f>134114+536+5730-123+510+536</f>
        <v>141303</v>
      </c>
      <c r="D13" s="37">
        <f>337+262-159</f>
        <v>440</v>
      </c>
      <c r="E13" s="153">
        <f>SUM(C13:D13)</f>
        <v>141743</v>
      </c>
      <c r="F13" s="37">
        <f>55485+3105-62+174</f>
        <v>58702</v>
      </c>
      <c r="G13" s="37">
        <f>48+1390</f>
        <v>1438</v>
      </c>
      <c r="H13" s="153">
        <f>SUM(F13:G13)</f>
        <v>60140</v>
      </c>
      <c r="I13" s="37">
        <f>50002+13+3082-62+158</f>
        <v>53193</v>
      </c>
      <c r="J13" s="37">
        <f>48+856</f>
        <v>904</v>
      </c>
      <c r="K13" s="153">
        <f>SUM(I13:J13)</f>
        <v>54097</v>
      </c>
      <c r="L13" s="33">
        <f>C13+F13+I13</f>
        <v>253198</v>
      </c>
      <c r="M13" s="37">
        <f>D13+G13+J13</f>
        <v>2782</v>
      </c>
      <c r="N13" s="154">
        <f>E13+H13+K13</f>
        <v>255980</v>
      </c>
    </row>
    <row r="14" spans="1:14" ht="15.75">
      <c r="A14" s="2">
        <v>2</v>
      </c>
      <c r="B14" s="15" t="s">
        <v>4</v>
      </c>
      <c r="C14" s="38">
        <f>36266+130+1547-31+138+133</f>
        <v>38183</v>
      </c>
      <c r="D14" s="38">
        <f>91+71+159+848</f>
        <v>1169</v>
      </c>
      <c r="E14" s="154">
        <f t="shared" ref="E14:E66" si="1">SUM(C14:D14)</f>
        <v>39352</v>
      </c>
      <c r="F14" s="38">
        <f>14409+839-16+43</f>
        <v>15275</v>
      </c>
      <c r="G14" s="38">
        <f>13+226+559</f>
        <v>798</v>
      </c>
      <c r="H14" s="154">
        <f t="shared" ref="H14:H66" si="2">SUM(F14:G14)</f>
        <v>16073</v>
      </c>
      <c r="I14" s="38">
        <f>13288+832-15+40</f>
        <v>14145</v>
      </c>
      <c r="J14" s="38">
        <f>13+661</f>
        <v>674</v>
      </c>
      <c r="K14" s="154">
        <f t="shared" ref="K14:K66" si="3">SUM(I14:J14)</f>
        <v>14819</v>
      </c>
      <c r="L14" s="53">
        <f t="shared" ref="L14:L16" si="4">C14+F14+I14</f>
        <v>67603</v>
      </c>
      <c r="M14" s="38">
        <f t="shared" ref="M14:M16" si="5">D14+G14+J14</f>
        <v>2641</v>
      </c>
      <c r="N14" s="154">
        <f t="shared" ref="N14:N66" si="6">E14+H14+K14</f>
        <v>70244</v>
      </c>
    </row>
    <row r="15" spans="1:14" ht="15.75">
      <c r="A15" s="2">
        <v>3</v>
      </c>
      <c r="B15" s="22" t="s">
        <v>5</v>
      </c>
      <c r="C15" s="38">
        <f>43934+3289-10+1992+28</f>
        <v>49233</v>
      </c>
      <c r="D15" s="38">
        <f>400+3749+1066</f>
        <v>5215</v>
      </c>
      <c r="E15" s="154">
        <f t="shared" si="1"/>
        <v>54448</v>
      </c>
      <c r="F15" s="38">
        <f>33752+1092-5+170+394</f>
        <v>35403</v>
      </c>
      <c r="G15" s="38">
        <f>-1616</f>
        <v>-1616</v>
      </c>
      <c r="H15" s="154">
        <f t="shared" si="2"/>
        <v>33787</v>
      </c>
      <c r="I15" s="38">
        <f>19430+2961-5+180+4639</f>
        <v>27205</v>
      </c>
      <c r="J15" s="38"/>
      <c r="K15" s="154">
        <f t="shared" si="3"/>
        <v>27205</v>
      </c>
      <c r="L15" s="53">
        <f t="shared" si="4"/>
        <v>111841</v>
      </c>
      <c r="M15" s="38">
        <f t="shared" si="5"/>
        <v>3599</v>
      </c>
      <c r="N15" s="154">
        <f t="shared" si="6"/>
        <v>115440</v>
      </c>
    </row>
    <row r="16" spans="1:14" ht="15.75">
      <c r="A16" s="3">
        <v>4</v>
      </c>
      <c r="B16" s="23" t="s">
        <v>6</v>
      </c>
      <c r="C16" s="38">
        <v>1054</v>
      </c>
      <c r="D16" s="38">
        <v>851</v>
      </c>
      <c r="E16" s="154">
        <f t="shared" si="1"/>
        <v>1905</v>
      </c>
      <c r="F16" s="38">
        <v>23</v>
      </c>
      <c r="G16" s="38">
        <v>410</v>
      </c>
      <c r="H16" s="154">
        <f t="shared" si="2"/>
        <v>433</v>
      </c>
      <c r="I16" s="38">
        <v>262</v>
      </c>
      <c r="J16" s="38">
        <v>439</v>
      </c>
      <c r="K16" s="154">
        <f t="shared" si="3"/>
        <v>701</v>
      </c>
      <c r="L16" s="54">
        <f t="shared" si="4"/>
        <v>1339</v>
      </c>
      <c r="M16" s="38">
        <f t="shared" si="5"/>
        <v>1700</v>
      </c>
      <c r="N16" s="154">
        <f t="shared" si="6"/>
        <v>3039</v>
      </c>
    </row>
    <row r="17" spans="1:14" ht="15.75">
      <c r="A17" s="2">
        <v>5</v>
      </c>
      <c r="B17" s="24" t="s">
        <v>7</v>
      </c>
      <c r="C17" s="38">
        <f t="shared" ref="C17" si="7">SUM(C15:C16)</f>
        <v>50287</v>
      </c>
      <c r="D17" s="38">
        <f t="shared" ref="D17:M17" si="8">SUM(D15:D16)</f>
        <v>6066</v>
      </c>
      <c r="E17" s="154">
        <f t="shared" si="1"/>
        <v>56353</v>
      </c>
      <c r="F17" s="38">
        <f t="shared" ref="F17" si="9">SUM(F15:F16)</f>
        <v>35426</v>
      </c>
      <c r="G17" s="38">
        <f t="shared" si="8"/>
        <v>-1206</v>
      </c>
      <c r="H17" s="154">
        <f t="shared" si="2"/>
        <v>34220</v>
      </c>
      <c r="I17" s="38">
        <f t="shared" ref="I17" si="10">SUM(I15:I16)</f>
        <v>27467</v>
      </c>
      <c r="J17" s="38">
        <f t="shared" si="8"/>
        <v>439</v>
      </c>
      <c r="K17" s="154">
        <f t="shared" si="3"/>
        <v>27906</v>
      </c>
      <c r="L17" s="34">
        <f t="shared" si="8"/>
        <v>113180</v>
      </c>
      <c r="M17" s="38">
        <f t="shared" si="8"/>
        <v>5299</v>
      </c>
      <c r="N17" s="154">
        <f t="shared" si="6"/>
        <v>118479</v>
      </c>
    </row>
    <row r="18" spans="1:14" ht="16.5" thickBot="1">
      <c r="A18" s="4">
        <v>6</v>
      </c>
      <c r="B18" s="16" t="s">
        <v>8</v>
      </c>
      <c r="C18" s="43">
        <f>18287+1996</f>
        <v>20283</v>
      </c>
      <c r="D18" s="43"/>
      <c r="E18" s="155">
        <f t="shared" si="1"/>
        <v>20283</v>
      </c>
      <c r="F18" s="43">
        <f>18515+1092</f>
        <v>19607</v>
      </c>
      <c r="G18" s="43"/>
      <c r="H18" s="155">
        <f t="shared" si="2"/>
        <v>19607</v>
      </c>
      <c r="I18" s="43">
        <f>12501+711</f>
        <v>13212</v>
      </c>
      <c r="J18" s="43"/>
      <c r="K18" s="155">
        <f t="shared" si="3"/>
        <v>13212</v>
      </c>
      <c r="L18" s="42">
        <f>C18+F18+I18</f>
        <v>53102</v>
      </c>
      <c r="M18" s="43">
        <f>D18+G18+J18</f>
        <v>0</v>
      </c>
      <c r="N18" s="155">
        <f t="shared" si="6"/>
        <v>53102</v>
      </c>
    </row>
    <row r="19" spans="1:14" ht="16.5" thickBot="1">
      <c r="A19" s="5">
        <v>7</v>
      </c>
      <c r="B19" s="20" t="s">
        <v>9</v>
      </c>
      <c r="C19" s="41">
        <f t="shared" ref="C19" si="11">SUM(C13:C14,C17)</f>
        <v>229773</v>
      </c>
      <c r="D19" s="41">
        <f t="shared" ref="D19:M19" si="12">SUM(D13:D14,D17)</f>
        <v>7675</v>
      </c>
      <c r="E19" s="156">
        <f t="shared" si="1"/>
        <v>237448</v>
      </c>
      <c r="F19" s="41">
        <f t="shared" ref="F19" si="13">SUM(F13:F14,F17)</f>
        <v>109403</v>
      </c>
      <c r="G19" s="41">
        <f t="shared" si="12"/>
        <v>1030</v>
      </c>
      <c r="H19" s="156">
        <f t="shared" si="2"/>
        <v>110433</v>
      </c>
      <c r="I19" s="41">
        <f t="shared" ref="I19" si="14">SUM(I13:I14,I17)</f>
        <v>94805</v>
      </c>
      <c r="J19" s="41">
        <f t="shared" si="12"/>
        <v>2017</v>
      </c>
      <c r="K19" s="156">
        <f t="shared" si="3"/>
        <v>96822</v>
      </c>
      <c r="L19" s="40">
        <f t="shared" si="12"/>
        <v>433981</v>
      </c>
      <c r="M19" s="41">
        <f t="shared" si="12"/>
        <v>10722</v>
      </c>
      <c r="N19" s="156">
        <f t="shared" si="6"/>
        <v>444703</v>
      </c>
    </row>
    <row r="20" spans="1:14" ht="15.75">
      <c r="A20" s="6">
        <v>8</v>
      </c>
      <c r="B20" s="13" t="s">
        <v>10</v>
      </c>
      <c r="C20" s="37"/>
      <c r="D20" s="37"/>
      <c r="E20" s="153">
        <f t="shared" si="1"/>
        <v>0</v>
      </c>
      <c r="F20" s="37"/>
      <c r="G20" s="37"/>
      <c r="H20" s="153">
        <f t="shared" si="2"/>
        <v>0</v>
      </c>
      <c r="I20" s="37"/>
      <c r="J20" s="37"/>
      <c r="K20" s="153">
        <f t="shared" si="3"/>
        <v>0</v>
      </c>
      <c r="L20" s="33">
        <f t="shared" ref="L20:L24" si="15">C20+F20+I20</f>
        <v>0</v>
      </c>
      <c r="M20" s="37">
        <f t="shared" ref="M20:M24" si="16">D20+G20+J20</f>
        <v>0</v>
      </c>
      <c r="N20" s="153">
        <f t="shared" si="6"/>
        <v>0</v>
      </c>
    </row>
    <row r="21" spans="1:14" ht="15.75">
      <c r="A21" s="2">
        <v>9</v>
      </c>
      <c r="B21" s="15" t="s">
        <v>11</v>
      </c>
      <c r="C21" s="38"/>
      <c r="D21" s="38"/>
      <c r="E21" s="154">
        <f t="shared" si="1"/>
        <v>0</v>
      </c>
      <c r="F21" s="38"/>
      <c r="G21" s="38"/>
      <c r="H21" s="154">
        <f t="shared" si="2"/>
        <v>0</v>
      </c>
      <c r="I21" s="38"/>
      <c r="J21" s="38"/>
      <c r="K21" s="154">
        <f t="shared" si="3"/>
        <v>0</v>
      </c>
      <c r="L21" s="34">
        <f t="shared" si="15"/>
        <v>0</v>
      </c>
      <c r="M21" s="38">
        <f t="shared" si="16"/>
        <v>0</v>
      </c>
      <c r="N21" s="154">
        <f t="shared" si="6"/>
        <v>0</v>
      </c>
    </row>
    <row r="22" spans="1:14" ht="15.75">
      <c r="A22" s="6">
        <v>10</v>
      </c>
      <c r="B22" s="13" t="s">
        <v>12</v>
      </c>
      <c r="C22" s="38">
        <v>11</v>
      </c>
      <c r="D22" s="38"/>
      <c r="E22" s="154">
        <f t="shared" si="1"/>
        <v>11</v>
      </c>
      <c r="F22" s="38">
        <v>583</v>
      </c>
      <c r="G22" s="38"/>
      <c r="H22" s="154">
        <f t="shared" si="2"/>
        <v>583</v>
      </c>
      <c r="I22" s="38">
        <v>172</v>
      </c>
      <c r="J22" s="38"/>
      <c r="K22" s="154">
        <f t="shared" si="3"/>
        <v>172</v>
      </c>
      <c r="L22" s="34">
        <f t="shared" si="15"/>
        <v>766</v>
      </c>
      <c r="M22" s="38">
        <f t="shared" si="16"/>
        <v>0</v>
      </c>
      <c r="N22" s="154">
        <f t="shared" si="6"/>
        <v>766</v>
      </c>
    </row>
    <row r="23" spans="1:14" ht="15.75">
      <c r="A23" s="2">
        <v>11</v>
      </c>
      <c r="B23" s="25" t="s">
        <v>116</v>
      </c>
      <c r="C23" s="38"/>
      <c r="D23" s="38"/>
      <c r="E23" s="154">
        <f t="shared" si="1"/>
        <v>0</v>
      </c>
      <c r="F23" s="38"/>
      <c r="G23" s="38"/>
      <c r="H23" s="154">
        <f t="shared" si="2"/>
        <v>0</v>
      </c>
      <c r="I23" s="38"/>
      <c r="J23" s="38"/>
      <c r="K23" s="154">
        <f t="shared" si="3"/>
        <v>0</v>
      </c>
      <c r="L23" s="34">
        <f t="shared" si="15"/>
        <v>0</v>
      </c>
      <c r="M23" s="38">
        <f t="shared" si="16"/>
        <v>0</v>
      </c>
      <c r="N23" s="154">
        <f t="shared" si="6"/>
        <v>0</v>
      </c>
    </row>
    <row r="24" spans="1:14" ht="16.5" thickBot="1">
      <c r="A24" s="1">
        <v>12</v>
      </c>
      <c r="B24" s="26" t="s">
        <v>117</v>
      </c>
      <c r="C24" s="39"/>
      <c r="D24" s="39"/>
      <c r="E24" s="157">
        <f t="shared" si="1"/>
        <v>0</v>
      </c>
      <c r="F24" s="39"/>
      <c r="G24" s="39"/>
      <c r="H24" s="157">
        <f t="shared" si="2"/>
        <v>0</v>
      </c>
      <c r="I24" s="39"/>
      <c r="J24" s="39"/>
      <c r="K24" s="157">
        <f t="shared" si="3"/>
        <v>0</v>
      </c>
      <c r="L24" s="35">
        <f t="shared" si="15"/>
        <v>0</v>
      </c>
      <c r="M24" s="39">
        <f t="shared" si="16"/>
        <v>0</v>
      </c>
      <c r="N24" s="157">
        <f t="shared" si="6"/>
        <v>0</v>
      </c>
    </row>
    <row r="25" spans="1:14" ht="16.5" thickBot="1">
      <c r="A25" s="5">
        <v>13</v>
      </c>
      <c r="B25" s="27" t="s">
        <v>13</v>
      </c>
      <c r="C25" s="41">
        <f t="shared" ref="C25" si="17">SUM(C20:C24)</f>
        <v>11</v>
      </c>
      <c r="D25" s="41">
        <f t="shared" ref="D25:M25" si="18">SUM(D20:D24)</f>
        <v>0</v>
      </c>
      <c r="E25" s="156">
        <f t="shared" si="1"/>
        <v>11</v>
      </c>
      <c r="F25" s="41">
        <f t="shared" ref="F25" si="19">SUM(F20:F24)</f>
        <v>583</v>
      </c>
      <c r="G25" s="41">
        <f t="shared" si="18"/>
        <v>0</v>
      </c>
      <c r="H25" s="156">
        <f t="shared" si="2"/>
        <v>583</v>
      </c>
      <c r="I25" s="41">
        <f t="shared" ref="I25" si="20">SUM(I20:I24)</f>
        <v>172</v>
      </c>
      <c r="J25" s="41">
        <f t="shared" si="18"/>
        <v>0</v>
      </c>
      <c r="K25" s="156">
        <f t="shared" si="3"/>
        <v>172</v>
      </c>
      <c r="L25" s="40">
        <f t="shared" si="18"/>
        <v>766</v>
      </c>
      <c r="M25" s="41">
        <f t="shared" si="18"/>
        <v>0</v>
      </c>
      <c r="N25" s="156">
        <f t="shared" si="6"/>
        <v>766</v>
      </c>
    </row>
    <row r="26" spans="1:14" ht="15.75">
      <c r="A26" s="6">
        <v>14</v>
      </c>
      <c r="B26" s="13" t="s">
        <v>14</v>
      </c>
      <c r="C26" s="37"/>
      <c r="D26" s="37"/>
      <c r="E26" s="153">
        <f t="shared" si="1"/>
        <v>0</v>
      </c>
      <c r="F26" s="37"/>
      <c r="G26" s="37"/>
      <c r="H26" s="153">
        <f t="shared" si="2"/>
        <v>0</v>
      </c>
      <c r="I26" s="37"/>
      <c r="J26" s="37"/>
      <c r="K26" s="153">
        <f t="shared" si="3"/>
        <v>0</v>
      </c>
      <c r="L26" s="33">
        <f t="shared" ref="L26:L32" si="21">C26+F26+I26</f>
        <v>0</v>
      </c>
      <c r="M26" s="37">
        <f t="shared" ref="M26:M32" si="22">D26+G26+J26</f>
        <v>0</v>
      </c>
      <c r="N26" s="153">
        <f t="shared" si="6"/>
        <v>0</v>
      </c>
    </row>
    <row r="27" spans="1:14" ht="15.75">
      <c r="A27" s="2">
        <v>15</v>
      </c>
      <c r="B27" s="15" t="s">
        <v>15</v>
      </c>
      <c r="C27" s="38"/>
      <c r="D27" s="38"/>
      <c r="E27" s="154">
        <f t="shared" si="1"/>
        <v>0</v>
      </c>
      <c r="F27" s="38"/>
      <c r="G27" s="38"/>
      <c r="H27" s="154">
        <f t="shared" si="2"/>
        <v>0</v>
      </c>
      <c r="I27" s="38"/>
      <c r="J27" s="38"/>
      <c r="K27" s="154">
        <f t="shared" si="3"/>
        <v>0</v>
      </c>
      <c r="L27" s="34">
        <f t="shared" si="21"/>
        <v>0</v>
      </c>
      <c r="M27" s="38">
        <f t="shared" si="22"/>
        <v>0</v>
      </c>
      <c r="N27" s="154">
        <f t="shared" si="6"/>
        <v>0</v>
      </c>
    </row>
    <row r="28" spans="1:14" ht="15.75">
      <c r="A28" s="6">
        <v>16</v>
      </c>
      <c r="B28" s="13" t="s">
        <v>16</v>
      </c>
      <c r="C28" s="38"/>
      <c r="D28" s="38"/>
      <c r="E28" s="154">
        <f t="shared" si="1"/>
        <v>0</v>
      </c>
      <c r="F28" s="38"/>
      <c r="G28" s="38"/>
      <c r="H28" s="154">
        <f t="shared" si="2"/>
        <v>0</v>
      </c>
      <c r="I28" s="38"/>
      <c r="J28" s="38"/>
      <c r="K28" s="154">
        <f t="shared" si="3"/>
        <v>0</v>
      </c>
      <c r="L28" s="34">
        <f t="shared" si="21"/>
        <v>0</v>
      </c>
      <c r="M28" s="38">
        <f t="shared" si="22"/>
        <v>0</v>
      </c>
      <c r="N28" s="154">
        <f t="shared" si="6"/>
        <v>0</v>
      </c>
    </row>
    <row r="29" spans="1:14" ht="15.75">
      <c r="A29" s="2">
        <v>17</v>
      </c>
      <c r="B29" s="28" t="s">
        <v>17</v>
      </c>
      <c r="C29" s="38">
        <f>800+150+4181</f>
        <v>5131</v>
      </c>
      <c r="D29" s="38">
        <v>242</v>
      </c>
      <c r="E29" s="154">
        <f t="shared" si="1"/>
        <v>5373</v>
      </c>
      <c r="F29" s="38"/>
      <c r="G29" s="38">
        <v>134</v>
      </c>
      <c r="H29" s="154">
        <f t="shared" si="2"/>
        <v>134</v>
      </c>
      <c r="I29" s="38"/>
      <c r="J29" s="38">
        <v>112</v>
      </c>
      <c r="K29" s="154">
        <f t="shared" si="3"/>
        <v>112</v>
      </c>
      <c r="L29" s="34">
        <f t="shared" si="21"/>
        <v>5131</v>
      </c>
      <c r="M29" s="38">
        <f t="shared" si="22"/>
        <v>488</v>
      </c>
      <c r="N29" s="154">
        <f t="shared" si="6"/>
        <v>5619</v>
      </c>
    </row>
    <row r="30" spans="1:14" ht="16.5" thickBot="1">
      <c r="A30" s="8">
        <v>18</v>
      </c>
      <c r="B30" s="29" t="s">
        <v>18</v>
      </c>
      <c r="C30" s="39"/>
      <c r="D30" s="39"/>
      <c r="E30" s="157">
        <f t="shared" si="1"/>
        <v>0</v>
      </c>
      <c r="F30" s="39">
        <v>10000</v>
      </c>
      <c r="G30" s="39"/>
      <c r="H30" s="157">
        <f t="shared" si="2"/>
        <v>10000</v>
      </c>
      <c r="I30" s="39"/>
      <c r="J30" s="39"/>
      <c r="K30" s="157">
        <f t="shared" si="3"/>
        <v>0</v>
      </c>
      <c r="L30" s="35">
        <f t="shared" si="21"/>
        <v>10000</v>
      </c>
      <c r="M30" s="39">
        <f t="shared" si="22"/>
        <v>0</v>
      </c>
      <c r="N30" s="157">
        <f t="shared" si="6"/>
        <v>10000</v>
      </c>
    </row>
    <row r="31" spans="1:14" ht="15.75">
      <c r="A31" s="6">
        <v>19</v>
      </c>
      <c r="B31" s="13" t="s">
        <v>19</v>
      </c>
      <c r="C31" s="37">
        <v>672</v>
      </c>
      <c r="D31" s="37"/>
      <c r="E31" s="153">
        <f t="shared" si="1"/>
        <v>672</v>
      </c>
      <c r="F31" s="37"/>
      <c r="G31" s="37"/>
      <c r="H31" s="153">
        <f t="shared" si="2"/>
        <v>0</v>
      </c>
      <c r="I31" s="37"/>
      <c r="J31" s="37"/>
      <c r="K31" s="153">
        <f t="shared" si="3"/>
        <v>0</v>
      </c>
      <c r="L31" s="33">
        <f t="shared" si="21"/>
        <v>672</v>
      </c>
      <c r="M31" s="37">
        <f t="shared" si="22"/>
        <v>0</v>
      </c>
      <c r="N31" s="153">
        <f t="shared" si="6"/>
        <v>672</v>
      </c>
    </row>
    <row r="32" spans="1:14" ht="16.5" thickBot="1">
      <c r="A32" s="3">
        <v>20</v>
      </c>
      <c r="B32" s="24" t="s">
        <v>20</v>
      </c>
      <c r="C32" s="39"/>
      <c r="D32" s="39"/>
      <c r="E32" s="157">
        <f t="shared" si="1"/>
        <v>0</v>
      </c>
      <c r="F32" s="39"/>
      <c r="G32" s="39"/>
      <c r="H32" s="157">
        <f t="shared" si="2"/>
        <v>0</v>
      </c>
      <c r="I32" s="39"/>
      <c r="J32" s="39"/>
      <c r="K32" s="157">
        <f t="shared" si="3"/>
        <v>0</v>
      </c>
      <c r="L32" s="35">
        <f t="shared" si="21"/>
        <v>0</v>
      </c>
      <c r="M32" s="39">
        <f t="shared" si="22"/>
        <v>0</v>
      </c>
      <c r="N32" s="157">
        <f t="shared" si="6"/>
        <v>0</v>
      </c>
    </row>
    <row r="33" spans="1:14" ht="16.5" thickBot="1">
      <c r="A33" s="5">
        <v>21</v>
      </c>
      <c r="B33" s="20" t="s">
        <v>21</v>
      </c>
      <c r="C33" s="41">
        <f t="shared" ref="C33" si="23">SUM(C31:C32)</f>
        <v>672</v>
      </c>
      <c r="D33" s="41">
        <f t="shared" ref="D33:M33" si="24">SUM(D31:D32)</f>
        <v>0</v>
      </c>
      <c r="E33" s="156">
        <f t="shared" si="1"/>
        <v>672</v>
      </c>
      <c r="F33" s="41">
        <f t="shared" ref="F33" si="25">SUM(F31:F32)</f>
        <v>0</v>
      </c>
      <c r="G33" s="41">
        <f t="shared" si="24"/>
        <v>0</v>
      </c>
      <c r="H33" s="156">
        <f t="shared" si="2"/>
        <v>0</v>
      </c>
      <c r="I33" s="41">
        <f t="shared" ref="I33" si="26">SUM(I31:I32)</f>
        <v>0</v>
      </c>
      <c r="J33" s="41">
        <f t="shared" si="24"/>
        <v>0</v>
      </c>
      <c r="K33" s="156">
        <f t="shared" si="3"/>
        <v>0</v>
      </c>
      <c r="L33" s="40">
        <f t="shared" si="24"/>
        <v>672</v>
      </c>
      <c r="M33" s="41">
        <f t="shared" si="24"/>
        <v>0</v>
      </c>
      <c r="N33" s="156">
        <f t="shared" si="6"/>
        <v>672</v>
      </c>
    </row>
    <row r="34" spans="1:14" ht="15.75">
      <c r="A34" s="3">
        <v>22</v>
      </c>
      <c r="B34" s="24" t="s">
        <v>22</v>
      </c>
      <c r="C34" s="37"/>
      <c r="D34" s="37"/>
      <c r="E34" s="153">
        <f t="shared" si="1"/>
        <v>0</v>
      </c>
      <c r="F34" s="37"/>
      <c r="G34" s="37"/>
      <c r="H34" s="153">
        <f t="shared" si="2"/>
        <v>0</v>
      </c>
      <c r="I34" s="37"/>
      <c r="J34" s="37"/>
      <c r="K34" s="153">
        <f t="shared" si="3"/>
        <v>0</v>
      </c>
      <c r="L34" s="33">
        <f t="shared" ref="L34:L37" si="27">C34+F34+I34</f>
        <v>0</v>
      </c>
      <c r="M34" s="37">
        <f t="shared" ref="M34:M37" si="28">D34+G34+J34</f>
        <v>0</v>
      </c>
      <c r="N34" s="153">
        <f t="shared" si="6"/>
        <v>0</v>
      </c>
    </row>
    <row r="35" spans="1:14" ht="15.75">
      <c r="A35" s="2">
        <v>23</v>
      </c>
      <c r="B35" s="15" t="s">
        <v>23</v>
      </c>
      <c r="C35" s="38"/>
      <c r="D35" s="38"/>
      <c r="E35" s="154">
        <f t="shared" si="1"/>
        <v>0</v>
      </c>
      <c r="F35" s="38"/>
      <c r="G35" s="38"/>
      <c r="H35" s="154">
        <f t="shared" si="2"/>
        <v>0</v>
      </c>
      <c r="I35" s="38"/>
      <c r="J35" s="38"/>
      <c r="K35" s="154">
        <f t="shared" si="3"/>
        <v>0</v>
      </c>
      <c r="L35" s="34">
        <f t="shared" si="27"/>
        <v>0</v>
      </c>
      <c r="M35" s="38">
        <f t="shared" si="28"/>
        <v>0</v>
      </c>
      <c r="N35" s="154">
        <f t="shared" si="6"/>
        <v>0</v>
      </c>
    </row>
    <row r="36" spans="1:14" ht="15.75">
      <c r="A36" s="6">
        <v>24</v>
      </c>
      <c r="B36" s="13" t="s">
        <v>24</v>
      </c>
      <c r="C36" s="38"/>
      <c r="D36" s="38"/>
      <c r="E36" s="154">
        <f t="shared" si="1"/>
        <v>0</v>
      </c>
      <c r="F36" s="38"/>
      <c r="G36" s="38"/>
      <c r="H36" s="154">
        <f t="shared" si="2"/>
        <v>0</v>
      </c>
      <c r="I36" s="38"/>
      <c r="J36" s="38"/>
      <c r="K36" s="154">
        <f t="shared" si="3"/>
        <v>0</v>
      </c>
      <c r="L36" s="34">
        <f t="shared" si="27"/>
        <v>0</v>
      </c>
      <c r="M36" s="38">
        <f t="shared" si="28"/>
        <v>0</v>
      </c>
      <c r="N36" s="154">
        <f t="shared" si="6"/>
        <v>0</v>
      </c>
    </row>
    <row r="37" spans="1:14" ht="16.5" thickBot="1">
      <c r="A37" s="2">
        <v>25</v>
      </c>
      <c r="B37" s="15" t="s">
        <v>25</v>
      </c>
      <c r="C37" s="39"/>
      <c r="D37" s="39"/>
      <c r="E37" s="157">
        <f t="shared" si="1"/>
        <v>0</v>
      </c>
      <c r="F37" s="39"/>
      <c r="G37" s="39"/>
      <c r="H37" s="157">
        <f t="shared" si="2"/>
        <v>0</v>
      </c>
      <c r="I37" s="39"/>
      <c r="J37" s="39"/>
      <c r="K37" s="157">
        <f t="shared" si="3"/>
        <v>0</v>
      </c>
      <c r="L37" s="35">
        <f t="shared" si="27"/>
        <v>0</v>
      </c>
      <c r="M37" s="39">
        <f t="shared" si="28"/>
        <v>0</v>
      </c>
      <c r="N37" s="157">
        <f t="shared" si="6"/>
        <v>0</v>
      </c>
    </row>
    <row r="38" spans="1:14" ht="16.5" thickBot="1">
      <c r="A38" s="5">
        <v>26</v>
      </c>
      <c r="B38" s="20" t="s">
        <v>45</v>
      </c>
      <c r="C38" s="41">
        <f t="shared" ref="C38" si="29">SUM(C19,C25,C26:C30,C33,C34:C37)</f>
        <v>235587</v>
      </c>
      <c r="D38" s="41">
        <f t="shared" ref="D38:M38" si="30">SUM(D19,D25,D26:D30,D33,D34:D37)</f>
        <v>7917</v>
      </c>
      <c r="E38" s="156">
        <f t="shared" si="1"/>
        <v>243504</v>
      </c>
      <c r="F38" s="41">
        <f t="shared" ref="F38" si="31">SUM(F19,F25,F26:F30,F33,F34:F37)</f>
        <v>119986</v>
      </c>
      <c r="G38" s="41">
        <f t="shared" si="30"/>
        <v>1164</v>
      </c>
      <c r="H38" s="156">
        <f t="shared" si="2"/>
        <v>121150</v>
      </c>
      <c r="I38" s="41">
        <f t="shared" ref="I38" si="32">SUM(I19,I25,I26:I30,I33,I34:I37)</f>
        <v>94977</v>
      </c>
      <c r="J38" s="41">
        <f t="shared" si="30"/>
        <v>2129</v>
      </c>
      <c r="K38" s="156">
        <f t="shared" si="3"/>
        <v>97106</v>
      </c>
      <c r="L38" s="40">
        <f t="shared" si="30"/>
        <v>450550</v>
      </c>
      <c r="M38" s="41">
        <f t="shared" si="30"/>
        <v>11210</v>
      </c>
      <c r="N38" s="156">
        <f t="shared" si="6"/>
        <v>461760</v>
      </c>
    </row>
    <row r="39" spans="1:14" ht="15.75">
      <c r="A39" s="7">
        <v>27</v>
      </c>
      <c r="B39" s="30" t="s">
        <v>46</v>
      </c>
      <c r="C39" s="37"/>
      <c r="D39" s="37"/>
      <c r="E39" s="153">
        <f t="shared" si="1"/>
        <v>0</v>
      </c>
      <c r="F39" s="37"/>
      <c r="G39" s="37"/>
      <c r="H39" s="153">
        <f t="shared" si="2"/>
        <v>0</v>
      </c>
      <c r="I39" s="37"/>
      <c r="J39" s="37"/>
      <c r="K39" s="153">
        <f t="shared" si="3"/>
        <v>0</v>
      </c>
      <c r="L39" s="33">
        <f t="shared" ref="L39:L41" si="33">C39+F39+I39</f>
        <v>0</v>
      </c>
      <c r="M39" s="37">
        <f t="shared" ref="M39:M41" si="34">D39+G39+J39</f>
        <v>0</v>
      </c>
      <c r="N39" s="153">
        <f t="shared" si="6"/>
        <v>0</v>
      </c>
    </row>
    <row r="40" spans="1:14" ht="15.75">
      <c r="A40" s="6">
        <v>28</v>
      </c>
      <c r="B40" s="13" t="s">
        <v>26</v>
      </c>
      <c r="C40" s="38"/>
      <c r="D40" s="38"/>
      <c r="E40" s="154">
        <f t="shared" si="1"/>
        <v>0</v>
      </c>
      <c r="F40" s="38"/>
      <c r="G40" s="38"/>
      <c r="H40" s="154">
        <f t="shared" si="2"/>
        <v>0</v>
      </c>
      <c r="I40" s="38"/>
      <c r="J40" s="38"/>
      <c r="K40" s="154">
        <f t="shared" si="3"/>
        <v>0</v>
      </c>
      <c r="L40" s="34">
        <f t="shared" si="33"/>
        <v>0</v>
      </c>
      <c r="M40" s="38">
        <f t="shared" si="34"/>
        <v>0</v>
      </c>
      <c r="N40" s="154">
        <f t="shared" si="6"/>
        <v>0</v>
      </c>
    </row>
    <row r="41" spans="1:14" ht="16.5" thickBot="1">
      <c r="A41" s="3">
        <v>29</v>
      </c>
      <c r="B41" s="24" t="s">
        <v>27</v>
      </c>
      <c r="C41" s="39"/>
      <c r="D41" s="39"/>
      <c r="E41" s="157">
        <f t="shared" si="1"/>
        <v>0</v>
      </c>
      <c r="F41" s="39"/>
      <c r="G41" s="39"/>
      <c r="H41" s="157">
        <f t="shared" si="2"/>
        <v>0</v>
      </c>
      <c r="I41" s="39"/>
      <c r="J41" s="39"/>
      <c r="K41" s="157">
        <f t="shared" si="3"/>
        <v>0</v>
      </c>
      <c r="L41" s="35">
        <f t="shared" si="33"/>
        <v>0</v>
      </c>
      <c r="M41" s="39">
        <f t="shared" si="34"/>
        <v>0</v>
      </c>
      <c r="N41" s="157">
        <f t="shared" si="6"/>
        <v>0</v>
      </c>
    </row>
    <row r="42" spans="1:14" ht="16.5" thickBot="1">
      <c r="A42" s="5">
        <v>30</v>
      </c>
      <c r="B42" s="20" t="s">
        <v>47</v>
      </c>
      <c r="C42" s="41">
        <f t="shared" ref="C42" si="35">SUM(C39:C41)</f>
        <v>0</v>
      </c>
      <c r="D42" s="41">
        <f t="shared" ref="D42:M42" si="36">SUM(D39:D41)</f>
        <v>0</v>
      </c>
      <c r="E42" s="156">
        <f t="shared" si="1"/>
        <v>0</v>
      </c>
      <c r="F42" s="41">
        <f t="shared" ref="F42" si="37">SUM(F39:F41)</f>
        <v>0</v>
      </c>
      <c r="G42" s="41">
        <f t="shared" si="36"/>
        <v>0</v>
      </c>
      <c r="H42" s="156">
        <f t="shared" si="2"/>
        <v>0</v>
      </c>
      <c r="I42" s="41">
        <f t="shared" ref="I42" si="38">SUM(I39:I41)</f>
        <v>0</v>
      </c>
      <c r="J42" s="41">
        <f t="shared" si="36"/>
        <v>0</v>
      </c>
      <c r="K42" s="156">
        <f t="shared" si="3"/>
        <v>0</v>
      </c>
      <c r="L42" s="40">
        <f t="shared" si="36"/>
        <v>0</v>
      </c>
      <c r="M42" s="41">
        <f t="shared" si="36"/>
        <v>0</v>
      </c>
      <c r="N42" s="156">
        <f t="shared" si="6"/>
        <v>0</v>
      </c>
    </row>
    <row r="43" spans="1:14" ht="16.5" thickBot="1">
      <c r="A43" s="225" t="s">
        <v>48</v>
      </c>
      <c r="B43" s="226"/>
      <c r="C43" s="45">
        <f t="shared" ref="C43" si="39">SUM(C38,C42)</f>
        <v>235587</v>
      </c>
      <c r="D43" s="45">
        <f t="shared" ref="D43:M43" si="40">SUM(D38,D42)</f>
        <v>7917</v>
      </c>
      <c r="E43" s="158">
        <f t="shared" si="1"/>
        <v>243504</v>
      </c>
      <c r="F43" s="45">
        <f t="shared" ref="F43" si="41">SUM(F38,F42)</f>
        <v>119986</v>
      </c>
      <c r="G43" s="45">
        <f t="shared" si="40"/>
        <v>1164</v>
      </c>
      <c r="H43" s="158">
        <f t="shared" si="2"/>
        <v>121150</v>
      </c>
      <c r="I43" s="45">
        <f t="shared" ref="I43" si="42">SUM(I38,I42)</f>
        <v>94977</v>
      </c>
      <c r="J43" s="45">
        <f t="shared" si="40"/>
        <v>2129</v>
      </c>
      <c r="K43" s="158">
        <f t="shared" si="3"/>
        <v>97106</v>
      </c>
      <c r="L43" s="44">
        <f t="shared" si="40"/>
        <v>450550</v>
      </c>
      <c r="M43" s="45">
        <f t="shared" si="40"/>
        <v>11210</v>
      </c>
      <c r="N43" s="158">
        <f t="shared" si="6"/>
        <v>461760</v>
      </c>
    </row>
    <row r="44" spans="1:14" ht="29.25" customHeight="1" thickTop="1" thickBot="1">
      <c r="A44" s="227" t="s">
        <v>28</v>
      </c>
      <c r="B44" s="228"/>
      <c r="C44" s="47"/>
      <c r="D44" s="47"/>
      <c r="E44" s="159"/>
      <c r="F44" s="47"/>
      <c r="G44" s="47"/>
      <c r="H44" s="159"/>
      <c r="I44" s="47"/>
      <c r="J44" s="47"/>
      <c r="K44" s="159"/>
      <c r="L44" s="46"/>
      <c r="M44" s="47"/>
      <c r="N44" s="159"/>
    </row>
    <row r="45" spans="1:14" ht="31.5">
      <c r="A45" s="6">
        <v>31</v>
      </c>
      <c r="B45" s="12" t="s">
        <v>29</v>
      </c>
      <c r="C45" s="37">
        <f>7103+860</f>
        <v>7963</v>
      </c>
      <c r="D45" s="37">
        <f>1459+376+5+1859</f>
        <v>3699</v>
      </c>
      <c r="E45" s="153">
        <f t="shared" si="1"/>
        <v>11662</v>
      </c>
      <c r="F45" s="37">
        <f>4554+170</f>
        <v>4724</v>
      </c>
      <c r="G45" s="37"/>
      <c r="H45" s="153">
        <f t="shared" si="2"/>
        <v>4724</v>
      </c>
      <c r="I45" s="37">
        <f>3447+180</f>
        <v>3627</v>
      </c>
      <c r="J45" s="37"/>
      <c r="K45" s="153">
        <f t="shared" si="3"/>
        <v>3627</v>
      </c>
      <c r="L45" s="33">
        <f t="shared" ref="L45:L55" si="43">C45+F45+I45</f>
        <v>16314</v>
      </c>
      <c r="M45" s="37">
        <f t="shared" ref="M45:M55" si="44">D45+G45+J45</f>
        <v>3699</v>
      </c>
      <c r="N45" s="153">
        <f t="shared" si="6"/>
        <v>20013</v>
      </c>
    </row>
    <row r="46" spans="1:14" ht="15.75">
      <c r="A46" s="6">
        <v>32</v>
      </c>
      <c r="B46" s="13" t="s">
        <v>30</v>
      </c>
      <c r="C46" s="38"/>
      <c r="D46" s="38"/>
      <c r="E46" s="154">
        <f t="shared" si="1"/>
        <v>0</v>
      </c>
      <c r="F46" s="38"/>
      <c r="G46" s="38"/>
      <c r="H46" s="154">
        <f t="shared" si="2"/>
        <v>0</v>
      </c>
      <c r="I46" s="38"/>
      <c r="J46" s="38"/>
      <c r="K46" s="154">
        <f t="shared" si="3"/>
        <v>0</v>
      </c>
      <c r="L46" s="34">
        <f t="shared" si="43"/>
        <v>0</v>
      </c>
      <c r="M46" s="38">
        <f t="shared" si="44"/>
        <v>0</v>
      </c>
      <c r="N46" s="154">
        <f t="shared" si="6"/>
        <v>0</v>
      </c>
    </row>
    <row r="47" spans="1:14" ht="31.5">
      <c r="A47" s="6">
        <v>33</v>
      </c>
      <c r="B47" s="14" t="s">
        <v>31</v>
      </c>
      <c r="C47" s="38"/>
      <c r="D47" s="38"/>
      <c r="E47" s="154">
        <f t="shared" si="1"/>
        <v>0</v>
      </c>
      <c r="F47" s="38"/>
      <c r="G47" s="38"/>
      <c r="H47" s="154">
        <f t="shared" si="2"/>
        <v>0</v>
      </c>
      <c r="I47" s="38"/>
      <c r="J47" s="38"/>
      <c r="K47" s="154">
        <f t="shared" si="3"/>
        <v>0</v>
      </c>
      <c r="L47" s="34">
        <f t="shared" si="43"/>
        <v>0</v>
      </c>
      <c r="M47" s="38">
        <f t="shared" si="44"/>
        <v>0</v>
      </c>
      <c r="N47" s="154">
        <f t="shared" si="6"/>
        <v>0</v>
      </c>
    </row>
    <row r="48" spans="1:14" ht="15.75">
      <c r="A48" s="6">
        <v>34</v>
      </c>
      <c r="B48" s="15" t="s">
        <v>32</v>
      </c>
      <c r="C48" s="38">
        <f>208265+7277+636+1930+4878</f>
        <v>222986</v>
      </c>
      <c r="D48" s="38">
        <f>242+428+400+333+2765</f>
        <v>4168</v>
      </c>
      <c r="E48" s="154">
        <f t="shared" si="1"/>
        <v>227154</v>
      </c>
      <c r="F48" s="38">
        <f>99115+3944-83+611</f>
        <v>103587</v>
      </c>
      <c r="G48" s="38">
        <f>134+61+969</f>
        <v>1164</v>
      </c>
      <c r="H48" s="154">
        <f t="shared" si="2"/>
        <v>104751</v>
      </c>
      <c r="I48" s="38">
        <f>79535+3914-82+4837</f>
        <v>88204</v>
      </c>
      <c r="J48" s="38">
        <f>112+61+1956</f>
        <v>2129</v>
      </c>
      <c r="K48" s="154">
        <f t="shared" si="3"/>
        <v>90333</v>
      </c>
      <c r="L48" s="34">
        <f t="shared" si="43"/>
        <v>414777</v>
      </c>
      <c r="M48" s="38">
        <f t="shared" si="44"/>
        <v>7461</v>
      </c>
      <c r="N48" s="154">
        <f t="shared" si="6"/>
        <v>422238</v>
      </c>
    </row>
    <row r="49" spans="1:14" ht="15.75">
      <c r="A49" s="6">
        <v>35</v>
      </c>
      <c r="B49" s="15" t="s">
        <v>33</v>
      </c>
      <c r="C49" s="38">
        <v>672</v>
      </c>
      <c r="D49" s="38"/>
      <c r="E49" s="154">
        <f t="shared" si="1"/>
        <v>672</v>
      </c>
      <c r="F49" s="38">
        <v>10000</v>
      </c>
      <c r="G49" s="38"/>
      <c r="H49" s="154">
        <f t="shared" si="2"/>
        <v>10000</v>
      </c>
      <c r="I49" s="38"/>
      <c r="J49" s="38"/>
      <c r="K49" s="154">
        <f t="shared" si="3"/>
        <v>0</v>
      </c>
      <c r="L49" s="34">
        <f t="shared" si="43"/>
        <v>10672</v>
      </c>
      <c r="M49" s="38">
        <f t="shared" si="44"/>
        <v>0</v>
      </c>
      <c r="N49" s="154">
        <f t="shared" si="6"/>
        <v>10672</v>
      </c>
    </row>
    <row r="50" spans="1:14" ht="15.75">
      <c r="A50" s="6">
        <v>36</v>
      </c>
      <c r="B50" s="15" t="s">
        <v>34</v>
      </c>
      <c r="C50" s="38"/>
      <c r="D50" s="38"/>
      <c r="E50" s="154">
        <f t="shared" si="1"/>
        <v>0</v>
      </c>
      <c r="F50" s="38"/>
      <c r="G50" s="38"/>
      <c r="H50" s="154">
        <f t="shared" si="2"/>
        <v>0</v>
      </c>
      <c r="I50" s="38"/>
      <c r="J50" s="38"/>
      <c r="K50" s="154">
        <f t="shared" si="3"/>
        <v>0</v>
      </c>
      <c r="L50" s="34">
        <f t="shared" si="43"/>
        <v>0</v>
      </c>
      <c r="M50" s="38">
        <f t="shared" si="44"/>
        <v>0</v>
      </c>
      <c r="N50" s="154">
        <f t="shared" si="6"/>
        <v>0</v>
      </c>
    </row>
    <row r="51" spans="1:14" ht="15.75">
      <c r="A51" s="6">
        <v>37</v>
      </c>
      <c r="B51" s="15" t="s">
        <v>35</v>
      </c>
      <c r="C51" s="38"/>
      <c r="D51" s="38">
        <v>50</v>
      </c>
      <c r="E51" s="154">
        <f t="shared" si="1"/>
        <v>50</v>
      </c>
      <c r="F51" s="38"/>
      <c r="G51" s="38"/>
      <c r="H51" s="154">
        <f t="shared" si="2"/>
        <v>0</v>
      </c>
      <c r="I51" s="38"/>
      <c r="J51" s="38"/>
      <c r="K51" s="154">
        <f t="shared" si="3"/>
        <v>0</v>
      </c>
      <c r="L51" s="34">
        <f t="shared" si="43"/>
        <v>0</v>
      </c>
      <c r="M51" s="38">
        <f t="shared" si="44"/>
        <v>50</v>
      </c>
      <c r="N51" s="154">
        <f t="shared" si="6"/>
        <v>50</v>
      </c>
    </row>
    <row r="52" spans="1:14" ht="15.75">
      <c r="A52" s="4">
        <v>38</v>
      </c>
      <c r="B52" s="16" t="s">
        <v>36</v>
      </c>
      <c r="C52" s="49"/>
      <c r="D52" s="49"/>
      <c r="E52" s="160">
        <f t="shared" si="1"/>
        <v>0</v>
      </c>
      <c r="F52" s="49"/>
      <c r="G52" s="49"/>
      <c r="H52" s="160">
        <f t="shared" si="2"/>
        <v>0</v>
      </c>
      <c r="I52" s="49"/>
      <c r="J52" s="49"/>
      <c r="K52" s="160">
        <f t="shared" si="3"/>
        <v>0</v>
      </c>
      <c r="L52" s="48">
        <f t="shared" si="43"/>
        <v>0</v>
      </c>
      <c r="M52" s="49">
        <f t="shared" si="44"/>
        <v>0</v>
      </c>
      <c r="N52" s="160">
        <f t="shared" si="6"/>
        <v>0</v>
      </c>
    </row>
    <row r="53" spans="1:14" ht="15.75">
      <c r="A53" s="6">
        <v>39</v>
      </c>
      <c r="B53" s="15" t="s">
        <v>37</v>
      </c>
      <c r="C53" s="38"/>
      <c r="D53" s="38"/>
      <c r="E53" s="154">
        <f t="shared" si="1"/>
        <v>0</v>
      </c>
      <c r="F53" s="38"/>
      <c r="G53" s="38"/>
      <c r="H53" s="154">
        <f t="shared" si="2"/>
        <v>0</v>
      </c>
      <c r="I53" s="38"/>
      <c r="J53" s="38"/>
      <c r="K53" s="154">
        <f t="shared" si="3"/>
        <v>0</v>
      </c>
      <c r="L53" s="34">
        <f t="shared" si="43"/>
        <v>0</v>
      </c>
      <c r="M53" s="38">
        <f t="shared" si="44"/>
        <v>0</v>
      </c>
      <c r="N53" s="154">
        <f t="shared" si="6"/>
        <v>0</v>
      </c>
    </row>
    <row r="54" spans="1:14" ht="15.75">
      <c r="A54" s="6">
        <v>40</v>
      </c>
      <c r="B54" s="17" t="s">
        <v>38</v>
      </c>
      <c r="C54" s="38"/>
      <c r="D54" s="38"/>
      <c r="E54" s="154">
        <f t="shared" si="1"/>
        <v>0</v>
      </c>
      <c r="F54" s="38"/>
      <c r="G54" s="38"/>
      <c r="H54" s="154">
        <f t="shared" si="2"/>
        <v>0</v>
      </c>
      <c r="I54" s="38"/>
      <c r="J54" s="38"/>
      <c r="K54" s="154">
        <f t="shared" si="3"/>
        <v>0</v>
      </c>
      <c r="L54" s="34">
        <f t="shared" si="43"/>
        <v>0</v>
      </c>
      <c r="M54" s="38">
        <f t="shared" si="44"/>
        <v>0</v>
      </c>
      <c r="N54" s="154">
        <f t="shared" si="6"/>
        <v>0</v>
      </c>
    </row>
    <row r="55" spans="1:14" ht="16.5" thickBot="1">
      <c r="A55" s="1">
        <v>41</v>
      </c>
      <c r="B55" s="18" t="s">
        <v>39</v>
      </c>
      <c r="C55" s="39"/>
      <c r="D55" s="39"/>
      <c r="E55" s="157">
        <f t="shared" si="1"/>
        <v>0</v>
      </c>
      <c r="F55" s="39"/>
      <c r="G55" s="39"/>
      <c r="H55" s="157">
        <f t="shared" si="2"/>
        <v>0</v>
      </c>
      <c r="I55" s="39"/>
      <c r="J55" s="39"/>
      <c r="K55" s="157">
        <f t="shared" si="3"/>
        <v>0</v>
      </c>
      <c r="L55" s="35">
        <f t="shared" si="43"/>
        <v>0</v>
      </c>
      <c r="M55" s="39">
        <f t="shared" si="44"/>
        <v>0</v>
      </c>
      <c r="N55" s="157">
        <f t="shared" si="6"/>
        <v>0</v>
      </c>
    </row>
    <row r="56" spans="1:14" ht="16.5" thickBot="1">
      <c r="A56" s="5">
        <v>42</v>
      </c>
      <c r="B56" s="19" t="s">
        <v>49</v>
      </c>
      <c r="C56" s="41">
        <f t="shared" ref="C56" si="45">SUM(C48:C51,C53:C55)</f>
        <v>223658</v>
      </c>
      <c r="D56" s="41">
        <f t="shared" ref="D56:M56" si="46">SUM(D48:D51,D53:D55)</f>
        <v>4218</v>
      </c>
      <c r="E56" s="156">
        <f t="shared" si="1"/>
        <v>227876</v>
      </c>
      <c r="F56" s="41">
        <f t="shared" ref="F56" si="47">SUM(F48:F51,F53:F55)</f>
        <v>113587</v>
      </c>
      <c r="G56" s="41">
        <f t="shared" si="46"/>
        <v>1164</v>
      </c>
      <c r="H56" s="156">
        <f t="shared" si="2"/>
        <v>114751</v>
      </c>
      <c r="I56" s="41">
        <f t="shared" ref="I56" si="48">SUM(I48:I51,I53:I55)</f>
        <v>88204</v>
      </c>
      <c r="J56" s="41">
        <f t="shared" si="46"/>
        <v>2129</v>
      </c>
      <c r="K56" s="156">
        <f t="shared" si="3"/>
        <v>90333</v>
      </c>
      <c r="L56" s="40">
        <f t="shared" si="46"/>
        <v>425449</v>
      </c>
      <c r="M56" s="41">
        <f t="shared" si="46"/>
        <v>7511</v>
      </c>
      <c r="N56" s="156">
        <f t="shared" si="6"/>
        <v>432960</v>
      </c>
    </row>
    <row r="57" spans="1:14" ht="16.5" thickBot="1">
      <c r="A57" s="6">
        <v>43</v>
      </c>
      <c r="B57" s="13" t="s">
        <v>40</v>
      </c>
      <c r="C57" s="37"/>
      <c r="D57" s="37"/>
      <c r="E57" s="153">
        <f t="shared" si="1"/>
        <v>0</v>
      </c>
      <c r="F57" s="37"/>
      <c r="G57" s="37"/>
      <c r="H57" s="153">
        <f t="shared" si="2"/>
        <v>0</v>
      </c>
      <c r="I57" s="37"/>
      <c r="J57" s="37"/>
      <c r="K57" s="153">
        <f t="shared" si="3"/>
        <v>0</v>
      </c>
      <c r="L57" s="33">
        <f t="shared" ref="L57" si="49">C57+F57+I57</f>
        <v>0</v>
      </c>
      <c r="M57" s="37">
        <f t="shared" ref="M57" si="50">D57+G57+J57</f>
        <v>0</v>
      </c>
      <c r="N57" s="153">
        <f t="shared" si="6"/>
        <v>0</v>
      </c>
    </row>
    <row r="58" spans="1:14" ht="16.5" thickBot="1">
      <c r="A58" s="5">
        <v>44</v>
      </c>
      <c r="B58" s="20" t="s">
        <v>76</v>
      </c>
      <c r="C58" s="41">
        <f t="shared" ref="C58" si="51">SUM(C44:C46,C55,C56:C57)</f>
        <v>231621</v>
      </c>
      <c r="D58" s="41">
        <f t="shared" ref="D58:M58" si="52">SUM(D44:D46,D55,D56:D57)</f>
        <v>7917</v>
      </c>
      <c r="E58" s="156">
        <f t="shared" si="1"/>
        <v>239538</v>
      </c>
      <c r="F58" s="41">
        <f t="shared" ref="F58" si="53">SUM(F44:F46,F55,F56:F57)</f>
        <v>118311</v>
      </c>
      <c r="G58" s="41">
        <f t="shared" si="52"/>
        <v>1164</v>
      </c>
      <c r="H58" s="156">
        <f t="shared" si="2"/>
        <v>119475</v>
      </c>
      <c r="I58" s="41">
        <f t="shared" ref="I58" si="54">SUM(I44:I46,I55,I56:I57)</f>
        <v>91831</v>
      </c>
      <c r="J58" s="41">
        <f t="shared" si="52"/>
        <v>2129</v>
      </c>
      <c r="K58" s="156">
        <f t="shared" si="3"/>
        <v>93960</v>
      </c>
      <c r="L58" s="40">
        <f t="shared" si="52"/>
        <v>441763</v>
      </c>
      <c r="M58" s="41">
        <f t="shared" si="52"/>
        <v>11210</v>
      </c>
      <c r="N58" s="156">
        <f t="shared" si="6"/>
        <v>452973</v>
      </c>
    </row>
    <row r="59" spans="1:14" ht="16.5" thickBot="1">
      <c r="A59" s="212">
        <v>45</v>
      </c>
      <c r="B59" s="213" t="s">
        <v>113</v>
      </c>
      <c r="C59" s="41">
        <v>3966</v>
      </c>
      <c r="D59" s="41"/>
      <c r="E59" s="156">
        <f t="shared" si="1"/>
        <v>3966</v>
      </c>
      <c r="F59" s="41">
        <v>1675</v>
      </c>
      <c r="G59" s="41"/>
      <c r="H59" s="156">
        <f t="shared" si="2"/>
        <v>1675</v>
      </c>
      <c r="I59" s="41">
        <v>3146</v>
      </c>
      <c r="J59" s="41"/>
      <c r="K59" s="156">
        <f t="shared" si="3"/>
        <v>3146</v>
      </c>
      <c r="L59" s="40">
        <f t="shared" ref="L59" si="55">C59+F59+I59</f>
        <v>8787</v>
      </c>
      <c r="M59" s="41">
        <f t="shared" ref="M59" si="56">D59+G59+J59</f>
        <v>0</v>
      </c>
      <c r="N59" s="156">
        <f t="shared" si="6"/>
        <v>8787</v>
      </c>
    </row>
    <row r="60" spans="1:14" ht="15.75">
      <c r="A60" s="6">
        <v>46</v>
      </c>
      <c r="B60" s="13" t="s">
        <v>44</v>
      </c>
      <c r="C60" s="37"/>
      <c r="D60" s="37"/>
      <c r="E60" s="153">
        <f t="shared" si="1"/>
        <v>0</v>
      </c>
      <c r="F60" s="37"/>
      <c r="G60" s="37"/>
      <c r="H60" s="153">
        <f t="shared" si="2"/>
        <v>0</v>
      </c>
      <c r="I60" s="37"/>
      <c r="J60" s="37"/>
      <c r="K60" s="153">
        <f t="shared" si="3"/>
        <v>0</v>
      </c>
      <c r="L60" s="33">
        <f t="shared" ref="L60:L62" si="57">C60+F60+I60</f>
        <v>0</v>
      </c>
      <c r="M60" s="37">
        <f t="shared" ref="M60:M62" si="58">D60+G60+J60</f>
        <v>0</v>
      </c>
      <c r="N60" s="153">
        <f t="shared" si="6"/>
        <v>0</v>
      </c>
    </row>
    <row r="61" spans="1:14" ht="15.75">
      <c r="A61" s="6">
        <v>47</v>
      </c>
      <c r="B61" s="15" t="s">
        <v>41</v>
      </c>
      <c r="C61" s="38"/>
      <c r="D61" s="38"/>
      <c r="E61" s="154">
        <f t="shared" si="1"/>
        <v>0</v>
      </c>
      <c r="F61" s="38"/>
      <c r="G61" s="38"/>
      <c r="H61" s="154">
        <f t="shared" si="2"/>
        <v>0</v>
      </c>
      <c r="I61" s="38"/>
      <c r="J61" s="38"/>
      <c r="K61" s="154">
        <f t="shared" si="3"/>
        <v>0</v>
      </c>
      <c r="L61" s="34">
        <f t="shared" si="57"/>
        <v>0</v>
      </c>
      <c r="M61" s="38"/>
      <c r="N61" s="154">
        <f t="shared" si="6"/>
        <v>0</v>
      </c>
    </row>
    <row r="62" spans="1:14" ht="16.5" thickBot="1">
      <c r="A62" s="6">
        <v>48</v>
      </c>
      <c r="B62" s="15" t="s">
        <v>42</v>
      </c>
      <c r="C62" s="39"/>
      <c r="D62" s="39"/>
      <c r="E62" s="157">
        <f t="shared" si="1"/>
        <v>0</v>
      </c>
      <c r="F62" s="39"/>
      <c r="G62" s="39"/>
      <c r="H62" s="157">
        <f t="shared" si="2"/>
        <v>0</v>
      </c>
      <c r="I62" s="39"/>
      <c r="J62" s="39"/>
      <c r="K62" s="157">
        <f t="shared" si="3"/>
        <v>0</v>
      </c>
      <c r="L62" s="35">
        <f t="shared" si="57"/>
        <v>0</v>
      </c>
      <c r="M62" s="39">
        <f t="shared" si="58"/>
        <v>0</v>
      </c>
      <c r="N62" s="157">
        <f t="shared" si="6"/>
        <v>0</v>
      </c>
    </row>
    <row r="63" spans="1:14" ht="16.5" thickBot="1">
      <c r="A63" s="5">
        <v>49</v>
      </c>
      <c r="B63" s="20" t="s">
        <v>50</v>
      </c>
      <c r="C63" s="41">
        <f t="shared" ref="C63" si="59">SUM(C60:C62)</f>
        <v>0</v>
      </c>
      <c r="D63" s="41">
        <f t="shared" ref="D63:M63" si="60">SUM(D60:D62)</f>
        <v>0</v>
      </c>
      <c r="E63" s="156">
        <f t="shared" si="1"/>
        <v>0</v>
      </c>
      <c r="F63" s="41">
        <f t="shared" ref="F63" si="61">SUM(F60:F62)</f>
        <v>0</v>
      </c>
      <c r="G63" s="41">
        <f t="shared" si="60"/>
        <v>0</v>
      </c>
      <c r="H63" s="156">
        <f t="shared" si="2"/>
        <v>0</v>
      </c>
      <c r="I63" s="41">
        <f t="shared" ref="I63" si="62">SUM(I60:I62)</f>
        <v>0</v>
      </c>
      <c r="J63" s="41">
        <f t="shared" si="60"/>
        <v>0</v>
      </c>
      <c r="K63" s="156">
        <f t="shared" si="3"/>
        <v>0</v>
      </c>
      <c r="L63" s="40">
        <f t="shared" si="60"/>
        <v>0</v>
      </c>
      <c r="M63" s="41">
        <f t="shared" si="60"/>
        <v>0</v>
      </c>
      <c r="N63" s="156">
        <f t="shared" si="6"/>
        <v>0</v>
      </c>
    </row>
    <row r="64" spans="1:14" ht="16.5" thickBot="1">
      <c r="A64" s="229" t="s">
        <v>77</v>
      </c>
      <c r="B64" s="230"/>
      <c r="C64" s="45">
        <f>C58+C59+C63</f>
        <v>235587</v>
      </c>
      <c r="D64" s="45">
        <f>D58+D59+D63</f>
        <v>7917</v>
      </c>
      <c r="E64" s="158">
        <f t="shared" si="1"/>
        <v>243504</v>
      </c>
      <c r="F64" s="45">
        <f>F58+F59+F63</f>
        <v>119986</v>
      </c>
      <c r="G64" s="45">
        <f>G58+G59+G63</f>
        <v>1164</v>
      </c>
      <c r="H64" s="158">
        <f t="shared" si="2"/>
        <v>121150</v>
      </c>
      <c r="I64" s="45">
        <f>I58+I59+I63</f>
        <v>94977</v>
      </c>
      <c r="J64" s="45">
        <f>J58+J59+J63</f>
        <v>2129</v>
      </c>
      <c r="K64" s="158">
        <f t="shared" si="3"/>
        <v>97106</v>
      </c>
      <c r="L64" s="44">
        <f>L58+L59+L63</f>
        <v>450550</v>
      </c>
      <c r="M64" s="45">
        <f>M58+M59+M63</f>
        <v>11210</v>
      </c>
      <c r="N64" s="158">
        <f t="shared" si="6"/>
        <v>461760</v>
      </c>
    </row>
    <row r="65" spans="1:14" ht="17.25" thickTop="1" thickBot="1">
      <c r="A65" s="215"/>
      <c r="B65" s="216"/>
      <c r="C65" s="10"/>
      <c r="D65" s="10"/>
      <c r="E65" s="159"/>
      <c r="F65" s="10"/>
      <c r="G65" s="10"/>
      <c r="H65" s="159"/>
      <c r="I65" s="10"/>
      <c r="J65" s="10"/>
      <c r="K65" s="159"/>
      <c r="L65" s="50"/>
      <c r="M65" s="10"/>
      <c r="N65" s="159"/>
    </row>
    <row r="66" spans="1:14" ht="16.5" thickBot="1">
      <c r="A66" s="9">
        <v>50</v>
      </c>
      <c r="B66" s="11" t="s">
        <v>43</v>
      </c>
      <c r="C66" s="201">
        <v>66</v>
      </c>
      <c r="D66" s="201"/>
      <c r="E66" s="202">
        <f t="shared" si="1"/>
        <v>66</v>
      </c>
      <c r="F66" s="201">
        <v>31</v>
      </c>
      <c r="G66" s="201"/>
      <c r="H66" s="202">
        <f t="shared" si="2"/>
        <v>31</v>
      </c>
      <c r="I66" s="201">
        <v>29</v>
      </c>
      <c r="J66" s="201"/>
      <c r="K66" s="202">
        <f t="shared" si="3"/>
        <v>29</v>
      </c>
      <c r="L66" s="200">
        <f>C66+F66+I66</f>
        <v>126</v>
      </c>
      <c r="M66" s="201">
        <f>D66+G66+J66</f>
        <v>0</v>
      </c>
      <c r="N66" s="202">
        <f t="shared" si="6"/>
        <v>126</v>
      </c>
    </row>
  </sheetData>
  <mergeCells count="32">
    <mergeCell ref="J1:N1"/>
    <mergeCell ref="K10:K11"/>
    <mergeCell ref="I8:K9"/>
    <mergeCell ref="F7:H7"/>
    <mergeCell ref="I7:K7"/>
    <mergeCell ref="A4:N4"/>
    <mergeCell ref="A5:N5"/>
    <mergeCell ref="L7:N7"/>
    <mergeCell ref="C10:C11"/>
    <mergeCell ref="D10:D11"/>
    <mergeCell ref="E10:E11"/>
    <mergeCell ref="C8:E9"/>
    <mergeCell ref="C7:E7"/>
    <mergeCell ref="L8:N9"/>
    <mergeCell ref="L10:L11"/>
    <mergeCell ref="M10:M11"/>
    <mergeCell ref="L2:N2"/>
    <mergeCell ref="L3:N3"/>
    <mergeCell ref="A65:B65"/>
    <mergeCell ref="A7:A11"/>
    <mergeCell ref="B7:B11"/>
    <mergeCell ref="A12:B12"/>
    <mergeCell ref="A43:B43"/>
    <mergeCell ref="A44:B44"/>
    <mergeCell ref="A64:B64"/>
    <mergeCell ref="N10:N11"/>
    <mergeCell ref="F8:H9"/>
    <mergeCell ref="F10:F11"/>
    <mergeCell ref="G10:G11"/>
    <mergeCell ref="H10:H11"/>
    <mergeCell ref="I10:I11"/>
    <mergeCell ref="J10:J11"/>
  </mergeCells>
  <pageMargins left="0.39370078740157483" right="0.23622047244094491" top="0.15748031496062992" bottom="0.23622047244094491" header="0.15748031496062992" footer="0.19685039370078741"/>
  <pageSetup paperSize="9" scale="4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66"/>
  <sheetViews>
    <sheetView tabSelected="1" view="pageBreakPreview" zoomScale="80" zoomScaleNormal="80" zoomScaleSheetLayoutView="80" workbookViewId="0">
      <pane xSplit="2" ySplit="12" topLeftCell="F19" activePane="bottomRight" state="frozen"/>
      <selection pane="topRight" activeCell="C1" sqref="C1"/>
      <selection pane="bottomLeft" activeCell="A11" sqref="A11"/>
      <selection pane="bottomRight" activeCell="G49" sqref="G49"/>
    </sheetView>
  </sheetViews>
  <sheetFormatPr defaultRowHeight="15"/>
  <cols>
    <col min="1" max="1" width="11.7109375" bestFit="1" customWidth="1"/>
    <col min="2" max="2" width="93.140625" bestFit="1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51"/>
      <c r="B1" s="51"/>
      <c r="C1" s="248"/>
      <c r="D1" s="248"/>
      <c r="E1" s="248"/>
      <c r="F1" s="52"/>
      <c r="G1" s="52"/>
      <c r="H1" s="52"/>
      <c r="I1" s="52"/>
      <c r="J1" s="214" t="s">
        <v>121</v>
      </c>
      <c r="K1" s="214"/>
      <c r="L1" s="214"/>
      <c r="M1" s="214"/>
      <c r="N1" s="214"/>
    </row>
    <row r="2" spans="1:14" ht="15" customHeight="1">
      <c r="A2" s="51"/>
      <c r="B2" s="51"/>
      <c r="C2" s="248"/>
      <c r="D2" s="248"/>
      <c r="E2" s="248"/>
      <c r="F2" s="210"/>
      <c r="G2" s="210"/>
      <c r="H2" s="210"/>
      <c r="I2" s="210"/>
      <c r="J2" s="210"/>
      <c r="K2" s="214" t="s">
        <v>111</v>
      </c>
      <c r="L2" s="214"/>
      <c r="M2" s="214"/>
      <c r="N2" s="214"/>
    </row>
    <row r="3" spans="1:14" ht="15" customHeight="1">
      <c r="A3" s="51"/>
      <c r="B3" s="51"/>
      <c r="C3" s="248"/>
      <c r="D3" s="248"/>
      <c r="E3" s="248"/>
      <c r="F3" s="210"/>
      <c r="G3" s="210"/>
      <c r="H3" s="210"/>
      <c r="I3" s="210"/>
      <c r="J3" s="210"/>
      <c r="K3" s="209"/>
      <c r="L3" s="214" t="s">
        <v>112</v>
      </c>
      <c r="M3" s="214"/>
      <c r="N3" s="214"/>
    </row>
    <row r="4" spans="1:14" ht="42" customHeight="1">
      <c r="A4" s="51"/>
      <c r="B4" s="51"/>
      <c r="C4" s="248"/>
      <c r="D4" s="248"/>
      <c r="E4" s="248"/>
      <c r="F4" s="52"/>
      <c r="G4" s="52"/>
      <c r="H4" s="52"/>
      <c r="I4" s="52"/>
      <c r="J4" s="52"/>
      <c r="K4" s="52"/>
      <c r="L4" s="52"/>
      <c r="M4" s="52"/>
      <c r="N4" s="52"/>
    </row>
    <row r="6" spans="1:14" ht="15.75" thickBot="1"/>
    <row r="7" spans="1:14" ht="16.5" thickBot="1">
      <c r="A7" s="217" t="s">
        <v>0</v>
      </c>
      <c r="B7" s="220" t="s">
        <v>1</v>
      </c>
      <c r="C7" s="241">
        <v>2102</v>
      </c>
      <c r="D7" s="242"/>
      <c r="E7" s="243"/>
      <c r="F7" s="244" t="s">
        <v>62</v>
      </c>
      <c r="G7" s="245"/>
      <c r="H7" s="246"/>
      <c r="I7" s="244" t="s">
        <v>61</v>
      </c>
      <c r="J7" s="245"/>
      <c r="K7" s="246"/>
      <c r="L7" s="241">
        <v>2102</v>
      </c>
      <c r="M7" s="242"/>
      <c r="N7" s="243"/>
    </row>
    <row r="8" spans="1:14" ht="15" customHeight="1">
      <c r="A8" s="218"/>
      <c r="B8" s="221"/>
      <c r="C8" s="233" t="s">
        <v>52</v>
      </c>
      <c r="D8" s="234"/>
      <c r="E8" s="231"/>
      <c r="F8" s="233" t="s">
        <v>60</v>
      </c>
      <c r="G8" s="234"/>
      <c r="H8" s="234"/>
      <c r="I8" s="233" t="s">
        <v>119</v>
      </c>
      <c r="J8" s="234"/>
      <c r="K8" s="231"/>
      <c r="L8" s="233" t="s">
        <v>63</v>
      </c>
      <c r="M8" s="234"/>
      <c r="N8" s="231"/>
    </row>
    <row r="9" spans="1:14" ht="51.75" customHeight="1" thickBot="1">
      <c r="A9" s="218"/>
      <c r="B9" s="221"/>
      <c r="C9" s="235"/>
      <c r="D9" s="236"/>
      <c r="E9" s="232"/>
      <c r="F9" s="235"/>
      <c r="G9" s="236"/>
      <c r="H9" s="236"/>
      <c r="I9" s="235"/>
      <c r="J9" s="236"/>
      <c r="K9" s="232"/>
      <c r="L9" s="235"/>
      <c r="M9" s="236"/>
      <c r="N9" s="232"/>
    </row>
    <row r="10" spans="1:14" ht="15" customHeight="1">
      <c r="A10" s="218"/>
      <c r="B10" s="221"/>
      <c r="C10" s="237" t="s">
        <v>115</v>
      </c>
      <c r="D10" s="239" t="s">
        <v>109</v>
      </c>
      <c r="E10" s="231" t="s">
        <v>110</v>
      </c>
      <c r="F10" s="237" t="s">
        <v>115</v>
      </c>
      <c r="G10" s="239" t="s">
        <v>109</v>
      </c>
      <c r="H10" s="231" t="s">
        <v>110</v>
      </c>
      <c r="I10" s="237" t="s">
        <v>115</v>
      </c>
      <c r="J10" s="239" t="s">
        <v>109</v>
      </c>
      <c r="K10" s="231" t="s">
        <v>110</v>
      </c>
      <c r="L10" s="237" t="s">
        <v>115</v>
      </c>
      <c r="M10" s="239" t="s">
        <v>109</v>
      </c>
      <c r="N10" s="231" t="s">
        <v>110</v>
      </c>
    </row>
    <row r="11" spans="1:14" ht="44.25" customHeight="1" thickBot="1">
      <c r="A11" s="219"/>
      <c r="B11" s="222"/>
      <c r="C11" s="238"/>
      <c r="D11" s="240"/>
      <c r="E11" s="232"/>
      <c r="F11" s="238"/>
      <c r="G11" s="240"/>
      <c r="H11" s="232"/>
      <c r="I11" s="238"/>
      <c r="J11" s="240"/>
      <c r="K11" s="232"/>
      <c r="L11" s="238"/>
      <c r="M11" s="240"/>
      <c r="N11" s="232"/>
    </row>
    <row r="12" spans="1:14" ht="16.5" thickBot="1">
      <c r="A12" s="223" t="s">
        <v>2</v>
      </c>
      <c r="B12" s="224"/>
      <c r="C12" s="32">
        <v>13</v>
      </c>
      <c r="D12" s="36">
        <f t="shared" ref="D12:G12" si="0">+C12+1</f>
        <v>14</v>
      </c>
      <c r="E12" s="31">
        <f t="shared" si="0"/>
        <v>15</v>
      </c>
      <c r="F12" s="31">
        <f t="shared" si="0"/>
        <v>16</v>
      </c>
      <c r="G12" s="36">
        <f t="shared" si="0"/>
        <v>17</v>
      </c>
      <c r="H12" s="36">
        <f t="shared" ref="H12" si="1">+G12+1</f>
        <v>18</v>
      </c>
      <c r="I12" s="36">
        <f t="shared" ref="I12" si="2">+H12+1</f>
        <v>19</v>
      </c>
      <c r="J12" s="36">
        <f t="shared" ref="J12" si="3">+I12+1</f>
        <v>20</v>
      </c>
      <c r="K12" s="36">
        <f t="shared" ref="K12" si="4">+J12+1</f>
        <v>21</v>
      </c>
      <c r="L12" s="36">
        <f t="shared" ref="L12" si="5">+K12+1</f>
        <v>22</v>
      </c>
      <c r="M12" s="36">
        <f t="shared" ref="M12" si="6">+L12+1</f>
        <v>23</v>
      </c>
      <c r="N12" s="36">
        <f t="shared" ref="N12" si="7">+M12+1</f>
        <v>24</v>
      </c>
    </row>
    <row r="13" spans="1:14" ht="15.75">
      <c r="A13" s="1">
        <v>1</v>
      </c>
      <c r="B13" s="21" t="s">
        <v>3</v>
      </c>
      <c r="C13" s="37">
        <f>178684+63+8042-1147+376</f>
        <v>186018</v>
      </c>
      <c r="D13" s="37">
        <f>4563+205+535+384</f>
        <v>5687</v>
      </c>
      <c r="E13" s="153">
        <f>SUM(C13:D13)</f>
        <v>191705</v>
      </c>
      <c r="F13" s="37">
        <f>29097+60+1625-31+162</f>
        <v>30913</v>
      </c>
      <c r="G13" s="37">
        <f>572+48+649</f>
        <v>1269</v>
      </c>
      <c r="H13" s="153">
        <f>SUM(F13:G13)</f>
        <v>32182</v>
      </c>
      <c r="I13" s="37">
        <f>32649+825+115</f>
        <v>33589</v>
      </c>
      <c r="J13" s="37">
        <f>1167+1224+200</f>
        <v>2591</v>
      </c>
      <c r="K13" s="153">
        <f>SUM(I13:J13)</f>
        <v>36180</v>
      </c>
      <c r="L13" s="33">
        <f>C13+F13+I13</f>
        <v>250520</v>
      </c>
      <c r="M13" s="37">
        <f>D13+G13+J13</f>
        <v>9547</v>
      </c>
      <c r="N13" s="154">
        <f>E13+H13+K13</f>
        <v>260067</v>
      </c>
    </row>
    <row r="14" spans="1:14" ht="15.75">
      <c r="A14" s="2">
        <v>2</v>
      </c>
      <c r="B14" s="15" t="s">
        <v>4</v>
      </c>
      <c r="C14" s="38">
        <f>46134+2171-363+105</f>
        <v>48047</v>
      </c>
      <c r="D14" s="38">
        <f>1232+56+145+2444</f>
        <v>3877</v>
      </c>
      <c r="E14" s="154">
        <f t="shared" ref="E14:E66" si="8">SUM(C14:D14)</f>
        <v>51924</v>
      </c>
      <c r="F14" s="38">
        <f>7825+439-8+45</f>
        <v>8301</v>
      </c>
      <c r="G14" s="38">
        <f>154+13+297</f>
        <v>464</v>
      </c>
      <c r="H14" s="154">
        <f t="shared" ref="H14:H66" si="9">SUM(F14:G14)</f>
        <v>8765</v>
      </c>
      <c r="I14" s="38">
        <f>8813+223</f>
        <v>9036</v>
      </c>
      <c r="J14" s="38">
        <f>709+330-200</f>
        <v>839</v>
      </c>
      <c r="K14" s="154">
        <f t="shared" ref="K14:K66" si="10">SUM(I14:J14)</f>
        <v>9875</v>
      </c>
      <c r="L14" s="53">
        <f t="shared" ref="L14:M16" si="11">C14+F14+I14</f>
        <v>65384</v>
      </c>
      <c r="M14" s="38">
        <f t="shared" si="11"/>
        <v>5180</v>
      </c>
      <c r="N14" s="154">
        <f t="shared" ref="N14:N66" si="12">E14+H14+K14</f>
        <v>70564</v>
      </c>
    </row>
    <row r="15" spans="1:14" ht="15.75">
      <c r="A15" s="2">
        <v>3</v>
      </c>
      <c r="B15" s="22" t="s">
        <v>5</v>
      </c>
      <c r="C15" s="38">
        <f>71488+1635+797+1428+810</f>
        <v>76158</v>
      </c>
      <c r="D15" s="38">
        <f>45</f>
        <v>45</v>
      </c>
      <c r="E15" s="154">
        <f t="shared" si="8"/>
        <v>76203</v>
      </c>
      <c r="F15" s="38">
        <f>12725-3+200</f>
        <v>12922</v>
      </c>
      <c r="G15" s="38">
        <f>20-125</f>
        <v>-105</v>
      </c>
      <c r="H15" s="154">
        <f t="shared" si="9"/>
        <v>12817</v>
      </c>
      <c r="I15" s="38">
        <f>12586+605+3043</f>
        <v>16234</v>
      </c>
      <c r="J15" s="38">
        <v>-3703</v>
      </c>
      <c r="K15" s="154">
        <f t="shared" si="10"/>
        <v>12531</v>
      </c>
      <c r="L15" s="53">
        <f t="shared" si="11"/>
        <v>105314</v>
      </c>
      <c r="M15" s="38">
        <f t="shared" si="11"/>
        <v>-3763</v>
      </c>
      <c r="N15" s="154">
        <f t="shared" si="12"/>
        <v>101551</v>
      </c>
    </row>
    <row r="16" spans="1:14" ht="15.75">
      <c r="A16" s="3">
        <v>4</v>
      </c>
      <c r="B16" s="23" t="s">
        <v>6</v>
      </c>
      <c r="C16" s="38">
        <v>176</v>
      </c>
      <c r="D16" s="38">
        <f>875+123+2960</f>
        <v>3958</v>
      </c>
      <c r="E16" s="154">
        <f t="shared" si="8"/>
        <v>4134</v>
      </c>
      <c r="F16" s="38">
        <v>140</v>
      </c>
      <c r="G16" s="38">
        <v>-108</v>
      </c>
      <c r="H16" s="154">
        <f t="shared" si="9"/>
        <v>32</v>
      </c>
      <c r="I16" s="38">
        <v>78</v>
      </c>
      <c r="J16" s="38">
        <v>-15</v>
      </c>
      <c r="K16" s="154">
        <f t="shared" si="10"/>
        <v>63</v>
      </c>
      <c r="L16" s="54">
        <f t="shared" si="11"/>
        <v>394</v>
      </c>
      <c r="M16" s="38">
        <f t="shared" si="11"/>
        <v>3835</v>
      </c>
      <c r="N16" s="154">
        <f t="shared" si="12"/>
        <v>4229</v>
      </c>
    </row>
    <row r="17" spans="1:14" ht="15.75">
      <c r="A17" s="2">
        <v>5</v>
      </c>
      <c r="B17" s="24" t="s">
        <v>7</v>
      </c>
      <c r="C17" s="38">
        <f t="shared" ref="C17" si="13">SUM(C15:C16)</f>
        <v>76334</v>
      </c>
      <c r="D17" s="38">
        <f t="shared" ref="D17:M17" si="14">SUM(D15:D16)</f>
        <v>4003</v>
      </c>
      <c r="E17" s="154">
        <f t="shared" si="8"/>
        <v>80337</v>
      </c>
      <c r="F17" s="38">
        <f t="shared" ref="F17" si="15">SUM(F15:F16)</f>
        <v>13062</v>
      </c>
      <c r="G17" s="38">
        <f t="shared" si="14"/>
        <v>-213</v>
      </c>
      <c r="H17" s="154">
        <f t="shared" si="9"/>
        <v>12849</v>
      </c>
      <c r="I17" s="38">
        <f t="shared" ref="I17" si="16">SUM(I15:I16)</f>
        <v>16312</v>
      </c>
      <c r="J17" s="38">
        <f t="shared" si="14"/>
        <v>-3718</v>
      </c>
      <c r="K17" s="154">
        <f t="shared" si="10"/>
        <v>12594</v>
      </c>
      <c r="L17" s="34">
        <f t="shared" si="14"/>
        <v>105708</v>
      </c>
      <c r="M17" s="38">
        <f t="shared" si="14"/>
        <v>72</v>
      </c>
      <c r="N17" s="154">
        <f t="shared" si="12"/>
        <v>105780</v>
      </c>
    </row>
    <row r="18" spans="1:14" ht="16.5" thickBot="1">
      <c r="A18" s="4">
        <v>6</v>
      </c>
      <c r="B18" s="16" t="s">
        <v>8</v>
      </c>
      <c r="C18" s="43">
        <f>33708+1635-2703</f>
        <v>32640</v>
      </c>
      <c r="D18" s="43"/>
      <c r="E18" s="155">
        <f t="shared" si="8"/>
        <v>32640</v>
      </c>
      <c r="F18" s="43">
        <v>8223</v>
      </c>
      <c r="G18" s="43"/>
      <c r="H18" s="155">
        <f t="shared" si="9"/>
        <v>8223</v>
      </c>
      <c r="I18" s="43"/>
      <c r="J18" s="43"/>
      <c r="K18" s="155">
        <f t="shared" si="10"/>
        <v>0</v>
      </c>
      <c r="L18" s="42">
        <f>C18+F18+I18</f>
        <v>40863</v>
      </c>
      <c r="M18" s="43">
        <f>D18+G18+J18</f>
        <v>0</v>
      </c>
      <c r="N18" s="155">
        <f t="shared" si="12"/>
        <v>40863</v>
      </c>
    </row>
    <row r="19" spans="1:14" ht="16.5" thickBot="1">
      <c r="A19" s="5">
        <v>7</v>
      </c>
      <c r="B19" s="20" t="s">
        <v>9</v>
      </c>
      <c r="C19" s="41">
        <f t="shared" ref="C19" si="17">SUM(C13:C14,C17)</f>
        <v>310399</v>
      </c>
      <c r="D19" s="41">
        <f t="shared" ref="D19:M19" si="18">SUM(D13:D14,D17)</f>
        <v>13567</v>
      </c>
      <c r="E19" s="156">
        <f t="shared" si="8"/>
        <v>323966</v>
      </c>
      <c r="F19" s="41">
        <f t="shared" ref="F19" si="19">SUM(F13:F14,F17)</f>
        <v>52276</v>
      </c>
      <c r="G19" s="41">
        <f t="shared" si="18"/>
        <v>1520</v>
      </c>
      <c r="H19" s="156">
        <f t="shared" si="9"/>
        <v>53796</v>
      </c>
      <c r="I19" s="41">
        <f t="shared" ref="I19" si="20">SUM(I13:I14,I17)</f>
        <v>58937</v>
      </c>
      <c r="J19" s="41">
        <f t="shared" si="18"/>
        <v>-288</v>
      </c>
      <c r="K19" s="156">
        <f t="shared" si="10"/>
        <v>58649</v>
      </c>
      <c r="L19" s="40">
        <f t="shared" si="18"/>
        <v>421612</v>
      </c>
      <c r="M19" s="41">
        <f t="shared" si="18"/>
        <v>14799</v>
      </c>
      <c r="N19" s="156">
        <f t="shared" si="12"/>
        <v>436411</v>
      </c>
    </row>
    <row r="20" spans="1:14" ht="15.75">
      <c r="A20" s="6">
        <v>8</v>
      </c>
      <c r="B20" s="13" t="s">
        <v>10</v>
      </c>
      <c r="C20" s="37"/>
      <c r="D20" s="37"/>
      <c r="E20" s="153">
        <f t="shared" si="8"/>
        <v>0</v>
      </c>
      <c r="F20" s="37"/>
      <c r="G20" s="37"/>
      <c r="H20" s="153">
        <f t="shared" si="9"/>
        <v>0</v>
      </c>
      <c r="I20" s="37"/>
      <c r="J20" s="37"/>
      <c r="K20" s="153">
        <f t="shared" si="10"/>
        <v>0</v>
      </c>
      <c r="L20" s="33">
        <f t="shared" ref="L20:M24" si="21">C20+F20+I20</f>
        <v>0</v>
      </c>
      <c r="M20" s="37">
        <f t="shared" si="21"/>
        <v>0</v>
      </c>
      <c r="N20" s="153">
        <f t="shared" si="12"/>
        <v>0</v>
      </c>
    </row>
    <row r="21" spans="1:14" ht="15.75">
      <c r="A21" s="2">
        <v>9</v>
      </c>
      <c r="B21" s="15" t="s">
        <v>11</v>
      </c>
      <c r="C21" s="38"/>
      <c r="D21" s="38"/>
      <c r="E21" s="154">
        <f t="shared" si="8"/>
        <v>0</v>
      </c>
      <c r="F21" s="38"/>
      <c r="G21" s="38"/>
      <c r="H21" s="154">
        <f t="shared" si="9"/>
        <v>0</v>
      </c>
      <c r="I21" s="38"/>
      <c r="J21" s="38"/>
      <c r="K21" s="154">
        <f t="shared" si="10"/>
        <v>0</v>
      </c>
      <c r="L21" s="34">
        <f t="shared" si="21"/>
        <v>0</v>
      </c>
      <c r="M21" s="38">
        <f t="shared" si="21"/>
        <v>0</v>
      </c>
      <c r="N21" s="154">
        <f t="shared" si="12"/>
        <v>0</v>
      </c>
    </row>
    <row r="22" spans="1:14" ht="15.75">
      <c r="A22" s="6">
        <v>10</v>
      </c>
      <c r="B22" s="13" t="s">
        <v>12</v>
      </c>
      <c r="C22" s="38">
        <f>1606+2703</f>
        <v>4309</v>
      </c>
      <c r="D22" s="38"/>
      <c r="E22" s="154">
        <f t="shared" si="8"/>
        <v>4309</v>
      </c>
      <c r="F22" s="38"/>
      <c r="G22" s="38"/>
      <c r="H22" s="154">
        <f t="shared" si="9"/>
        <v>0</v>
      </c>
      <c r="I22" s="38"/>
      <c r="J22" s="38"/>
      <c r="K22" s="154">
        <f t="shared" si="10"/>
        <v>0</v>
      </c>
      <c r="L22" s="34">
        <f t="shared" si="21"/>
        <v>4309</v>
      </c>
      <c r="M22" s="38">
        <f t="shared" si="21"/>
        <v>0</v>
      </c>
      <c r="N22" s="154">
        <f t="shared" si="12"/>
        <v>4309</v>
      </c>
    </row>
    <row r="23" spans="1:14" ht="15.75">
      <c r="A23" s="2">
        <v>11</v>
      </c>
      <c r="B23" s="25" t="s">
        <v>116</v>
      </c>
      <c r="C23" s="38"/>
      <c r="D23" s="38"/>
      <c r="E23" s="154">
        <f t="shared" si="8"/>
        <v>0</v>
      </c>
      <c r="F23" s="38"/>
      <c r="G23" s="38"/>
      <c r="H23" s="154">
        <f t="shared" si="9"/>
        <v>0</v>
      </c>
      <c r="I23" s="38"/>
      <c r="J23" s="38"/>
      <c r="K23" s="154">
        <f t="shared" si="10"/>
        <v>0</v>
      </c>
      <c r="L23" s="34">
        <f t="shared" si="21"/>
        <v>0</v>
      </c>
      <c r="M23" s="38">
        <f t="shared" si="21"/>
        <v>0</v>
      </c>
      <c r="N23" s="154">
        <f t="shared" si="12"/>
        <v>0</v>
      </c>
    </row>
    <row r="24" spans="1:14" ht="16.5" thickBot="1">
      <c r="A24" s="1">
        <v>12</v>
      </c>
      <c r="B24" s="26" t="s">
        <v>117</v>
      </c>
      <c r="C24" s="39"/>
      <c r="D24" s="39"/>
      <c r="E24" s="157">
        <f t="shared" si="8"/>
        <v>0</v>
      </c>
      <c r="F24" s="39"/>
      <c r="G24" s="39"/>
      <c r="H24" s="157">
        <f t="shared" si="9"/>
        <v>0</v>
      </c>
      <c r="I24" s="39"/>
      <c r="J24" s="39"/>
      <c r="K24" s="157">
        <f t="shared" si="10"/>
        <v>0</v>
      </c>
      <c r="L24" s="35">
        <f t="shared" si="21"/>
        <v>0</v>
      </c>
      <c r="M24" s="39">
        <f t="shared" si="21"/>
        <v>0</v>
      </c>
      <c r="N24" s="157">
        <f t="shared" si="12"/>
        <v>0</v>
      </c>
    </row>
    <row r="25" spans="1:14" ht="16.5" thickBot="1">
      <c r="A25" s="5">
        <v>13</v>
      </c>
      <c r="B25" s="27" t="s">
        <v>13</v>
      </c>
      <c r="C25" s="41">
        <f t="shared" ref="C25" si="22">SUM(C20:C24)</f>
        <v>4309</v>
      </c>
      <c r="D25" s="41">
        <f t="shared" ref="D25:M25" si="23">SUM(D20:D24)</f>
        <v>0</v>
      </c>
      <c r="E25" s="156">
        <f t="shared" si="8"/>
        <v>4309</v>
      </c>
      <c r="F25" s="41">
        <f t="shared" ref="F25" si="24">SUM(F20:F24)</f>
        <v>0</v>
      </c>
      <c r="G25" s="41">
        <f t="shared" si="23"/>
        <v>0</v>
      </c>
      <c r="H25" s="156">
        <f t="shared" si="9"/>
        <v>0</v>
      </c>
      <c r="I25" s="41">
        <f t="shared" ref="I25" si="25">SUM(I20:I24)</f>
        <v>0</v>
      </c>
      <c r="J25" s="41">
        <f t="shared" si="23"/>
        <v>0</v>
      </c>
      <c r="K25" s="156">
        <f t="shared" si="10"/>
        <v>0</v>
      </c>
      <c r="L25" s="40">
        <f t="shared" si="23"/>
        <v>4309</v>
      </c>
      <c r="M25" s="41">
        <f t="shared" si="23"/>
        <v>0</v>
      </c>
      <c r="N25" s="156">
        <f t="shared" si="12"/>
        <v>4309</v>
      </c>
    </row>
    <row r="26" spans="1:14" ht="15.75">
      <c r="A26" s="6">
        <v>14</v>
      </c>
      <c r="B26" s="13" t="s">
        <v>14</v>
      </c>
      <c r="C26" s="37"/>
      <c r="D26" s="37"/>
      <c r="E26" s="153">
        <f t="shared" si="8"/>
        <v>0</v>
      </c>
      <c r="F26" s="37"/>
      <c r="G26" s="37"/>
      <c r="H26" s="153">
        <f t="shared" si="9"/>
        <v>0</v>
      </c>
      <c r="I26" s="37"/>
      <c r="J26" s="37"/>
      <c r="K26" s="153">
        <f t="shared" si="10"/>
        <v>0</v>
      </c>
      <c r="L26" s="33">
        <f t="shared" ref="L26:M32" si="26">C26+F26+I26</f>
        <v>0</v>
      </c>
      <c r="M26" s="37">
        <f t="shared" si="26"/>
        <v>0</v>
      </c>
      <c r="N26" s="153">
        <f t="shared" si="12"/>
        <v>0</v>
      </c>
    </row>
    <row r="27" spans="1:14" ht="15.75">
      <c r="A27" s="2">
        <v>15</v>
      </c>
      <c r="B27" s="15" t="s">
        <v>15</v>
      </c>
      <c r="C27" s="38"/>
      <c r="D27" s="38"/>
      <c r="E27" s="154">
        <f t="shared" si="8"/>
        <v>0</v>
      </c>
      <c r="F27" s="38"/>
      <c r="G27" s="38"/>
      <c r="H27" s="154">
        <f t="shared" si="9"/>
        <v>0</v>
      </c>
      <c r="I27" s="38"/>
      <c r="J27" s="38"/>
      <c r="K27" s="154">
        <f t="shared" si="10"/>
        <v>0</v>
      </c>
      <c r="L27" s="34">
        <f t="shared" si="26"/>
        <v>0</v>
      </c>
      <c r="M27" s="38">
        <f t="shared" si="26"/>
        <v>0</v>
      </c>
      <c r="N27" s="154">
        <f t="shared" si="12"/>
        <v>0</v>
      </c>
    </row>
    <row r="28" spans="1:14" ht="15.75">
      <c r="A28" s="6">
        <v>16</v>
      </c>
      <c r="B28" s="13" t="s">
        <v>16</v>
      </c>
      <c r="C28" s="38"/>
      <c r="D28" s="38"/>
      <c r="E28" s="154">
        <f t="shared" si="8"/>
        <v>0</v>
      </c>
      <c r="F28" s="38"/>
      <c r="G28" s="38"/>
      <c r="H28" s="154">
        <f t="shared" si="9"/>
        <v>0</v>
      </c>
      <c r="I28" s="38"/>
      <c r="J28" s="38"/>
      <c r="K28" s="154">
        <f t="shared" si="10"/>
        <v>0</v>
      </c>
      <c r="L28" s="34">
        <f t="shared" si="26"/>
        <v>0</v>
      </c>
      <c r="M28" s="38">
        <f t="shared" si="26"/>
        <v>0</v>
      </c>
      <c r="N28" s="154">
        <f t="shared" si="12"/>
        <v>0</v>
      </c>
    </row>
    <row r="29" spans="1:14" ht="15.75">
      <c r="A29" s="2">
        <v>17</v>
      </c>
      <c r="B29" s="28" t="s">
        <v>17</v>
      </c>
      <c r="C29" s="38">
        <v>4555</v>
      </c>
      <c r="D29" s="38">
        <f>547+6830+197</f>
        <v>7574</v>
      </c>
      <c r="E29" s="154">
        <f t="shared" si="8"/>
        <v>12129</v>
      </c>
      <c r="F29" s="38">
        <v>688</v>
      </c>
      <c r="G29" s="38">
        <f>80-24</f>
        <v>56</v>
      </c>
      <c r="H29" s="154">
        <f t="shared" si="9"/>
        <v>744</v>
      </c>
      <c r="I29" s="38">
        <v>1549</v>
      </c>
      <c r="J29" s="38">
        <v>-48</v>
      </c>
      <c r="K29" s="154">
        <f t="shared" si="10"/>
        <v>1501</v>
      </c>
      <c r="L29" s="34">
        <f t="shared" si="26"/>
        <v>6792</v>
      </c>
      <c r="M29" s="38">
        <f t="shared" si="26"/>
        <v>7582</v>
      </c>
      <c r="N29" s="154">
        <f t="shared" si="12"/>
        <v>14374</v>
      </c>
    </row>
    <row r="30" spans="1:14" ht="16.5" thickBot="1">
      <c r="A30" s="8">
        <v>18</v>
      </c>
      <c r="B30" s="29" t="s">
        <v>18</v>
      </c>
      <c r="C30" s="39">
        <f>955+6620</f>
        <v>7575</v>
      </c>
      <c r="D30" s="39"/>
      <c r="E30" s="157">
        <f t="shared" si="8"/>
        <v>7575</v>
      </c>
      <c r="F30" s="39">
        <v>1011</v>
      </c>
      <c r="G30" s="39"/>
      <c r="H30" s="157">
        <f t="shared" si="9"/>
        <v>1011</v>
      </c>
      <c r="I30" s="39"/>
      <c r="J30" s="39"/>
      <c r="K30" s="157">
        <f t="shared" si="10"/>
        <v>0</v>
      </c>
      <c r="L30" s="35">
        <f t="shared" si="26"/>
        <v>8586</v>
      </c>
      <c r="M30" s="39">
        <f t="shared" si="26"/>
        <v>0</v>
      </c>
      <c r="N30" s="157">
        <f t="shared" si="12"/>
        <v>8586</v>
      </c>
    </row>
    <row r="31" spans="1:14" ht="15.75">
      <c r="A31" s="6">
        <v>19</v>
      </c>
      <c r="B31" s="13" t="s">
        <v>19</v>
      </c>
      <c r="C31" s="37">
        <f>955-955+1400</f>
        <v>1400</v>
      </c>
      <c r="D31" s="37"/>
      <c r="E31" s="153">
        <f t="shared" si="8"/>
        <v>1400</v>
      </c>
      <c r="F31" s="37">
        <v>170</v>
      </c>
      <c r="G31" s="37"/>
      <c r="H31" s="153">
        <f t="shared" si="9"/>
        <v>170</v>
      </c>
      <c r="I31" s="37"/>
      <c r="J31" s="37"/>
      <c r="K31" s="153">
        <f t="shared" si="10"/>
        <v>0</v>
      </c>
      <c r="L31" s="33">
        <f t="shared" si="26"/>
        <v>1570</v>
      </c>
      <c r="M31" s="37">
        <f t="shared" si="26"/>
        <v>0</v>
      </c>
      <c r="N31" s="153">
        <f t="shared" si="12"/>
        <v>1570</v>
      </c>
    </row>
    <row r="32" spans="1:14" ht="16.5" thickBot="1">
      <c r="A32" s="3">
        <v>20</v>
      </c>
      <c r="B32" s="24" t="s">
        <v>20</v>
      </c>
      <c r="C32" s="39"/>
      <c r="D32" s="39"/>
      <c r="E32" s="157">
        <f t="shared" si="8"/>
        <v>0</v>
      </c>
      <c r="F32" s="39"/>
      <c r="G32" s="39"/>
      <c r="H32" s="157">
        <f t="shared" si="9"/>
        <v>0</v>
      </c>
      <c r="I32" s="39"/>
      <c r="J32" s="39"/>
      <c r="K32" s="157">
        <f t="shared" si="10"/>
        <v>0</v>
      </c>
      <c r="L32" s="35">
        <f t="shared" si="26"/>
        <v>0</v>
      </c>
      <c r="M32" s="39">
        <f t="shared" si="26"/>
        <v>0</v>
      </c>
      <c r="N32" s="157">
        <f t="shared" si="12"/>
        <v>0</v>
      </c>
    </row>
    <row r="33" spans="1:14" ht="16.5" thickBot="1">
      <c r="A33" s="5">
        <v>21</v>
      </c>
      <c r="B33" s="20" t="s">
        <v>21</v>
      </c>
      <c r="C33" s="41">
        <f t="shared" ref="C33" si="27">SUM(C31:C32)</f>
        <v>1400</v>
      </c>
      <c r="D33" s="41">
        <f t="shared" ref="D33:M33" si="28">SUM(D31:D32)</f>
        <v>0</v>
      </c>
      <c r="E33" s="156">
        <f t="shared" si="8"/>
        <v>1400</v>
      </c>
      <c r="F33" s="41">
        <f t="shared" ref="F33" si="29">SUM(F31:F32)</f>
        <v>170</v>
      </c>
      <c r="G33" s="41">
        <f t="shared" si="28"/>
        <v>0</v>
      </c>
      <c r="H33" s="156">
        <f t="shared" si="9"/>
        <v>170</v>
      </c>
      <c r="I33" s="41">
        <f t="shared" ref="I33" si="30">SUM(I31:I32)</f>
        <v>0</v>
      </c>
      <c r="J33" s="41">
        <f t="shared" si="28"/>
        <v>0</v>
      </c>
      <c r="K33" s="156">
        <f t="shared" si="10"/>
        <v>0</v>
      </c>
      <c r="L33" s="40">
        <f t="shared" si="28"/>
        <v>1570</v>
      </c>
      <c r="M33" s="41">
        <f t="shared" si="28"/>
        <v>0</v>
      </c>
      <c r="N33" s="156">
        <f t="shared" si="12"/>
        <v>1570</v>
      </c>
    </row>
    <row r="34" spans="1:14" ht="15.75">
      <c r="A34" s="3">
        <v>22</v>
      </c>
      <c r="B34" s="24" t="s">
        <v>22</v>
      </c>
      <c r="C34" s="37"/>
      <c r="D34" s="37"/>
      <c r="E34" s="153">
        <f t="shared" si="8"/>
        <v>0</v>
      </c>
      <c r="F34" s="37"/>
      <c r="G34" s="37"/>
      <c r="H34" s="153">
        <f t="shared" si="9"/>
        <v>0</v>
      </c>
      <c r="I34" s="37"/>
      <c r="J34" s="37"/>
      <c r="K34" s="153">
        <f t="shared" si="10"/>
        <v>0</v>
      </c>
      <c r="L34" s="33">
        <f t="shared" ref="L34:M37" si="31">C34+F34+I34</f>
        <v>0</v>
      </c>
      <c r="M34" s="37">
        <f t="shared" si="31"/>
        <v>0</v>
      </c>
      <c r="N34" s="153">
        <f t="shared" si="12"/>
        <v>0</v>
      </c>
    </row>
    <row r="35" spans="1:14" ht="15.75">
      <c r="A35" s="2">
        <v>23</v>
      </c>
      <c r="B35" s="15" t="s">
        <v>23</v>
      </c>
      <c r="C35" s="38"/>
      <c r="D35" s="38"/>
      <c r="E35" s="154">
        <f t="shared" si="8"/>
        <v>0</v>
      </c>
      <c r="F35" s="38"/>
      <c r="G35" s="38"/>
      <c r="H35" s="154">
        <f t="shared" si="9"/>
        <v>0</v>
      </c>
      <c r="I35" s="38"/>
      <c r="J35" s="38"/>
      <c r="K35" s="154">
        <f t="shared" si="10"/>
        <v>0</v>
      </c>
      <c r="L35" s="34">
        <f t="shared" si="31"/>
        <v>0</v>
      </c>
      <c r="M35" s="38">
        <f t="shared" si="31"/>
        <v>0</v>
      </c>
      <c r="N35" s="154">
        <f t="shared" si="12"/>
        <v>0</v>
      </c>
    </row>
    <row r="36" spans="1:14" ht="15.75">
      <c r="A36" s="6">
        <v>24</v>
      </c>
      <c r="B36" s="13" t="s">
        <v>24</v>
      </c>
      <c r="C36" s="38"/>
      <c r="D36" s="38"/>
      <c r="E36" s="154">
        <f t="shared" si="8"/>
        <v>0</v>
      </c>
      <c r="F36" s="38"/>
      <c r="G36" s="38"/>
      <c r="H36" s="154">
        <f t="shared" si="9"/>
        <v>0</v>
      </c>
      <c r="I36" s="38"/>
      <c r="J36" s="38"/>
      <c r="K36" s="154">
        <f t="shared" si="10"/>
        <v>0</v>
      </c>
      <c r="L36" s="34">
        <f t="shared" si="31"/>
        <v>0</v>
      </c>
      <c r="M36" s="38">
        <f t="shared" si="31"/>
        <v>0</v>
      </c>
      <c r="N36" s="154">
        <f t="shared" si="12"/>
        <v>0</v>
      </c>
    </row>
    <row r="37" spans="1:14" ht="16.5" thickBot="1">
      <c r="A37" s="2">
        <v>25</v>
      </c>
      <c r="B37" s="15" t="s">
        <v>25</v>
      </c>
      <c r="C37" s="39"/>
      <c r="D37" s="39"/>
      <c r="E37" s="157">
        <f t="shared" si="8"/>
        <v>0</v>
      </c>
      <c r="F37" s="39"/>
      <c r="G37" s="39"/>
      <c r="H37" s="157">
        <f t="shared" si="9"/>
        <v>0</v>
      </c>
      <c r="I37" s="39"/>
      <c r="J37" s="39"/>
      <c r="K37" s="157">
        <f t="shared" si="10"/>
        <v>0</v>
      </c>
      <c r="L37" s="35">
        <f t="shared" si="31"/>
        <v>0</v>
      </c>
      <c r="M37" s="39">
        <f t="shared" si="31"/>
        <v>0</v>
      </c>
      <c r="N37" s="157">
        <f t="shared" si="12"/>
        <v>0</v>
      </c>
    </row>
    <row r="38" spans="1:14" ht="16.5" thickBot="1">
      <c r="A38" s="5">
        <v>26</v>
      </c>
      <c r="B38" s="20" t="s">
        <v>45</v>
      </c>
      <c r="C38" s="41">
        <f t="shared" ref="C38" si="32">SUM(C19,C25,C26:C30,C33,C34:C37)</f>
        <v>328238</v>
      </c>
      <c r="D38" s="41">
        <f t="shared" ref="D38:M38" si="33">SUM(D19,D25,D26:D30,D33,D34:D37)</f>
        <v>21141</v>
      </c>
      <c r="E38" s="156">
        <f t="shared" si="8"/>
        <v>349379</v>
      </c>
      <c r="F38" s="41">
        <f t="shared" ref="F38" si="34">SUM(F19,F25,F26:F30,F33,F34:F37)</f>
        <v>54145</v>
      </c>
      <c r="G38" s="41">
        <f t="shared" si="33"/>
        <v>1576</v>
      </c>
      <c r="H38" s="156">
        <f t="shared" si="9"/>
        <v>55721</v>
      </c>
      <c r="I38" s="41">
        <f t="shared" ref="I38" si="35">SUM(I19,I25,I26:I30,I33,I34:I37)</f>
        <v>60486</v>
      </c>
      <c r="J38" s="41">
        <f t="shared" si="33"/>
        <v>-336</v>
      </c>
      <c r="K38" s="156">
        <f t="shared" si="10"/>
        <v>60150</v>
      </c>
      <c r="L38" s="40">
        <f t="shared" si="33"/>
        <v>442869</v>
      </c>
      <c r="M38" s="41">
        <f t="shared" si="33"/>
        <v>22381</v>
      </c>
      <c r="N38" s="156">
        <f t="shared" si="12"/>
        <v>465250</v>
      </c>
    </row>
    <row r="39" spans="1:14" ht="15.75">
      <c r="A39" s="7">
        <v>27</v>
      </c>
      <c r="B39" s="30" t="s">
        <v>46</v>
      </c>
      <c r="C39" s="37"/>
      <c r="D39" s="37"/>
      <c r="E39" s="153">
        <f t="shared" si="8"/>
        <v>0</v>
      </c>
      <c r="F39" s="37"/>
      <c r="G39" s="37"/>
      <c r="H39" s="153">
        <f t="shared" si="9"/>
        <v>0</v>
      </c>
      <c r="I39" s="37"/>
      <c r="J39" s="37"/>
      <c r="K39" s="153">
        <f t="shared" si="10"/>
        <v>0</v>
      </c>
      <c r="L39" s="33">
        <f t="shared" ref="L39:M41" si="36">C39+F39+I39</f>
        <v>0</v>
      </c>
      <c r="M39" s="37">
        <f t="shared" si="36"/>
        <v>0</v>
      </c>
      <c r="N39" s="153">
        <f t="shared" si="12"/>
        <v>0</v>
      </c>
    </row>
    <row r="40" spans="1:14" ht="15.75">
      <c r="A40" s="6">
        <v>28</v>
      </c>
      <c r="B40" s="13" t="s">
        <v>26</v>
      </c>
      <c r="C40" s="38"/>
      <c r="D40" s="38"/>
      <c r="E40" s="154">
        <f t="shared" si="8"/>
        <v>0</v>
      </c>
      <c r="F40" s="38"/>
      <c r="G40" s="38"/>
      <c r="H40" s="154">
        <f t="shared" si="9"/>
        <v>0</v>
      </c>
      <c r="I40" s="38"/>
      <c r="J40" s="38"/>
      <c r="K40" s="154">
        <f t="shared" si="10"/>
        <v>0</v>
      </c>
      <c r="L40" s="34">
        <f t="shared" si="36"/>
        <v>0</v>
      </c>
      <c r="M40" s="38">
        <f t="shared" si="36"/>
        <v>0</v>
      </c>
      <c r="N40" s="154">
        <f t="shared" si="12"/>
        <v>0</v>
      </c>
    </row>
    <row r="41" spans="1:14" ht="16.5" thickBot="1">
      <c r="A41" s="3">
        <v>29</v>
      </c>
      <c r="B41" s="24" t="s">
        <v>27</v>
      </c>
      <c r="C41" s="39"/>
      <c r="D41" s="39"/>
      <c r="E41" s="157">
        <f t="shared" si="8"/>
        <v>0</v>
      </c>
      <c r="F41" s="39"/>
      <c r="G41" s="39"/>
      <c r="H41" s="157">
        <f t="shared" si="9"/>
        <v>0</v>
      </c>
      <c r="I41" s="39"/>
      <c r="J41" s="39"/>
      <c r="K41" s="157">
        <f t="shared" si="10"/>
        <v>0</v>
      </c>
      <c r="L41" s="35">
        <f t="shared" si="36"/>
        <v>0</v>
      </c>
      <c r="M41" s="39">
        <f t="shared" si="36"/>
        <v>0</v>
      </c>
      <c r="N41" s="157">
        <f t="shared" si="12"/>
        <v>0</v>
      </c>
    </row>
    <row r="42" spans="1:14" ht="16.5" thickBot="1">
      <c r="A42" s="5">
        <v>30</v>
      </c>
      <c r="B42" s="20" t="s">
        <v>47</v>
      </c>
      <c r="C42" s="41">
        <f t="shared" ref="C42" si="37">SUM(C39:C41)</f>
        <v>0</v>
      </c>
      <c r="D42" s="41">
        <f t="shared" ref="D42:M42" si="38">SUM(D39:D41)</f>
        <v>0</v>
      </c>
      <c r="E42" s="156">
        <f t="shared" si="8"/>
        <v>0</v>
      </c>
      <c r="F42" s="41">
        <f t="shared" ref="F42" si="39">SUM(F39:F41)</f>
        <v>0</v>
      </c>
      <c r="G42" s="41">
        <f t="shared" si="38"/>
        <v>0</v>
      </c>
      <c r="H42" s="156">
        <f t="shared" si="9"/>
        <v>0</v>
      </c>
      <c r="I42" s="41">
        <f t="shared" ref="I42" si="40">SUM(I39:I41)</f>
        <v>0</v>
      </c>
      <c r="J42" s="41">
        <f t="shared" si="38"/>
        <v>0</v>
      </c>
      <c r="K42" s="156">
        <f t="shared" si="10"/>
        <v>0</v>
      </c>
      <c r="L42" s="40">
        <f t="shared" si="38"/>
        <v>0</v>
      </c>
      <c r="M42" s="41">
        <f t="shared" si="38"/>
        <v>0</v>
      </c>
      <c r="N42" s="156">
        <f t="shared" si="12"/>
        <v>0</v>
      </c>
    </row>
    <row r="43" spans="1:14" ht="16.5" thickBot="1">
      <c r="A43" s="225" t="s">
        <v>48</v>
      </c>
      <c r="B43" s="226"/>
      <c r="C43" s="45">
        <f t="shared" ref="C43" si="41">SUM(C38,C42)</f>
        <v>328238</v>
      </c>
      <c r="D43" s="45">
        <f t="shared" ref="D43:M43" si="42">SUM(D38,D42)</f>
        <v>21141</v>
      </c>
      <c r="E43" s="158">
        <f t="shared" si="8"/>
        <v>349379</v>
      </c>
      <c r="F43" s="45">
        <f t="shared" ref="F43" si="43">SUM(F38,F42)</f>
        <v>54145</v>
      </c>
      <c r="G43" s="45">
        <f t="shared" si="42"/>
        <v>1576</v>
      </c>
      <c r="H43" s="158">
        <f t="shared" si="9"/>
        <v>55721</v>
      </c>
      <c r="I43" s="45">
        <f t="shared" ref="I43" si="44">SUM(I38,I42)</f>
        <v>60486</v>
      </c>
      <c r="J43" s="45">
        <f t="shared" si="42"/>
        <v>-336</v>
      </c>
      <c r="K43" s="158">
        <f t="shared" si="10"/>
        <v>60150</v>
      </c>
      <c r="L43" s="44">
        <f t="shared" si="42"/>
        <v>442869</v>
      </c>
      <c r="M43" s="45">
        <f t="shared" si="42"/>
        <v>22381</v>
      </c>
      <c r="N43" s="158">
        <f t="shared" si="12"/>
        <v>465250</v>
      </c>
    </row>
    <row r="44" spans="1:14" ht="29.25" customHeight="1" thickTop="1" thickBot="1">
      <c r="A44" s="227" t="s">
        <v>28</v>
      </c>
      <c r="B44" s="228"/>
      <c r="C44" s="47"/>
      <c r="D44" s="47"/>
      <c r="E44" s="159"/>
      <c r="F44" s="47"/>
      <c r="G44" s="47"/>
      <c r="H44" s="159"/>
      <c r="I44" s="47"/>
      <c r="J44" s="47"/>
      <c r="K44" s="159"/>
      <c r="L44" s="46"/>
      <c r="M44" s="47"/>
      <c r="N44" s="159"/>
    </row>
    <row r="45" spans="1:14" ht="31.5">
      <c r="A45" s="6">
        <v>31</v>
      </c>
      <c r="B45" s="12" t="s">
        <v>29</v>
      </c>
      <c r="C45" s="37">
        <f>25148+810</f>
        <v>25958</v>
      </c>
      <c r="D45" s="37">
        <f>5993+237</f>
        <v>6230</v>
      </c>
      <c r="E45" s="153">
        <f t="shared" si="8"/>
        <v>32188</v>
      </c>
      <c r="F45" s="37">
        <v>2807</v>
      </c>
      <c r="G45" s="37"/>
      <c r="H45" s="153">
        <f t="shared" si="9"/>
        <v>2807</v>
      </c>
      <c r="I45" s="37"/>
      <c r="J45" s="37"/>
      <c r="K45" s="153">
        <f t="shared" si="10"/>
        <v>0</v>
      </c>
      <c r="L45" s="33">
        <f t="shared" ref="L45:M55" si="45">C45+F45+I45</f>
        <v>28765</v>
      </c>
      <c r="M45" s="37">
        <f t="shared" si="45"/>
        <v>6230</v>
      </c>
      <c r="N45" s="153">
        <f t="shared" si="12"/>
        <v>34995</v>
      </c>
    </row>
    <row r="46" spans="1:14" ht="15.75">
      <c r="A46" s="6">
        <v>32</v>
      </c>
      <c r="B46" s="13" t="s">
        <v>30</v>
      </c>
      <c r="C46" s="38"/>
      <c r="D46" s="38"/>
      <c r="E46" s="154">
        <f t="shared" si="8"/>
        <v>0</v>
      </c>
      <c r="F46" s="38"/>
      <c r="G46" s="38"/>
      <c r="H46" s="154">
        <f t="shared" si="9"/>
        <v>0</v>
      </c>
      <c r="I46" s="38"/>
      <c r="J46" s="38"/>
      <c r="K46" s="154">
        <f t="shared" si="10"/>
        <v>0</v>
      </c>
      <c r="L46" s="34">
        <f t="shared" si="45"/>
        <v>0</v>
      </c>
      <c r="M46" s="38">
        <f t="shared" si="45"/>
        <v>0</v>
      </c>
      <c r="N46" s="154">
        <f t="shared" si="12"/>
        <v>0</v>
      </c>
    </row>
    <row r="47" spans="1:14" ht="31.5">
      <c r="A47" s="6">
        <v>33</v>
      </c>
      <c r="B47" s="14" t="s">
        <v>31</v>
      </c>
      <c r="C47" s="38"/>
      <c r="D47" s="38"/>
      <c r="E47" s="154">
        <f t="shared" si="8"/>
        <v>0</v>
      </c>
      <c r="F47" s="38"/>
      <c r="G47" s="38"/>
      <c r="H47" s="154">
        <f t="shared" si="9"/>
        <v>0</v>
      </c>
      <c r="I47" s="38"/>
      <c r="J47" s="38"/>
      <c r="K47" s="154">
        <f t="shared" si="10"/>
        <v>0</v>
      </c>
      <c r="L47" s="34">
        <f t="shared" si="45"/>
        <v>0</v>
      </c>
      <c r="M47" s="38">
        <f t="shared" si="45"/>
        <v>0</v>
      </c>
      <c r="N47" s="154">
        <f t="shared" si="12"/>
        <v>0</v>
      </c>
    </row>
    <row r="48" spans="1:14" ht="15.75">
      <c r="A48" s="6">
        <v>34</v>
      </c>
      <c r="B48" s="15" t="s">
        <v>32</v>
      </c>
      <c r="C48" s="38">
        <f>271334+13713-82+5036</f>
        <v>290001</v>
      </c>
      <c r="D48" s="38">
        <f>45+547+5795+261+680+3703+320+2960</f>
        <v>14311</v>
      </c>
      <c r="E48" s="154">
        <f t="shared" si="8"/>
        <v>304312</v>
      </c>
      <c r="F48" s="38">
        <f>46980+2064+646+407</f>
        <v>50097</v>
      </c>
      <c r="G48" s="38">
        <f>80+20+726+61-257+946</f>
        <v>1576</v>
      </c>
      <c r="H48" s="154">
        <f t="shared" si="9"/>
        <v>51673</v>
      </c>
      <c r="I48" s="38">
        <f>55675+605+1048+3158</f>
        <v>60486</v>
      </c>
      <c r="J48" s="38">
        <f>1876-3703-63</f>
        <v>-1890</v>
      </c>
      <c r="K48" s="154">
        <f t="shared" si="10"/>
        <v>58596</v>
      </c>
      <c r="L48" s="34">
        <f t="shared" si="45"/>
        <v>400584</v>
      </c>
      <c r="M48" s="38">
        <f t="shared" si="45"/>
        <v>13997</v>
      </c>
      <c r="N48" s="154">
        <f t="shared" si="12"/>
        <v>414581</v>
      </c>
    </row>
    <row r="49" spans="1:14" ht="15.75">
      <c r="A49" s="6">
        <v>35</v>
      </c>
      <c r="B49" s="15" t="s">
        <v>33</v>
      </c>
      <c r="C49" s="38">
        <f>955+8020</f>
        <v>8975</v>
      </c>
      <c r="D49" s="38"/>
      <c r="E49" s="154">
        <f t="shared" si="8"/>
        <v>8975</v>
      </c>
      <c r="F49" s="38">
        <f>1011+170</f>
        <v>1181</v>
      </c>
      <c r="G49" s="38"/>
      <c r="H49" s="154">
        <f t="shared" si="9"/>
        <v>1181</v>
      </c>
      <c r="I49" s="38"/>
      <c r="J49" s="38"/>
      <c r="K49" s="154">
        <f t="shared" si="10"/>
        <v>0</v>
      </c>
      <c r="L49" s="34">
        <f t="shared" si="45"/>
        <v>10156</v>
      </c>
      <c r="M49" s="38">
        <f t="shared" si="45"/>
        <v>0</v>
      </c>
      <c r="N49" s="154">
        <f t="shared" si="12"/>
        <v>10156</v>
      </c>
    </row>
    <row r="50" spans="1:14" ht="15.75">
      <c r="A50" s="6">
        <v>36</v>
      </c>
      <c r="B50" s="15" t="s">
        <v>34</v>
      </c>
      <c r="C50" s="38"/>
      <c r="D50" s="38"/>
      <c r="E50" s="154">
        <f t="shared" si="8"/>
        <v>0</v>
      </c>
      <c r="F50" s="38"/>
      <c r="G50" s="38"/>
      <c r="H50" s="154">
        <f t="shared" si="9"/>
        <v>0</v>
      </c>
      <c r="I50" s="38"/>
      <c r="J50" s="38"/>
      <c r="K50" s="154">
        <f t="shared" si="10"/>
        <v>0</v>
      </c>
      <c r="L50" s="34">
        <f t="shared" si="45"/>
        <v>0</v>
      </c>
      <c r="M50" s="38">
        <f t="shared" si="45"/>
        <v>0</v>
      </c>
      <c r="N50" s="154">
        <f t="shared" si="12"/>
        <v>0</v>
      </c>
    </row>
    <row r="51" spans="1:14" ht="15.75">
      <c r="A51" s="6">
        <v>37</v>
      </c>
      <c r="B51" s="15" t="s">
        <v>35</v>
      </c>
      <c r="C51" s="38"/>
      <c r="D51" s="38">
        <v>600</v>
      </c>
      <c r="E51" s="154">
        <f t="shared" si="8"/>
        <v>600</v>
      </c>
      <c r="F51" s="38"/>
      <c r="G51" s="38"/>
      <c r="H51" s="154">
        <f t="shared" si="9"/>
        <v>0</v>
      </c>
      <c r="I51" s="38"/>
      <c r="J51" s="38">
        <v>1554</v>
      </c>
      <c r="K51" s="154">
        <f t="shared" si="10"/>
        <v>1554</v>
      </c>
      <c r="L51" s="34">
        <f t="shared" si="45"/>
        <v>0</v>
      </c>
      <c r="M51" s="38">
        <f t="shared" si="45"/>
        <v>2154</v>
      </c>
      <c r="N51" s="154">
        <f t="shared" si="12"/>
        <v>2154</v>
      </c>
    </row>
    <row r="52" spans="1:14" ht="15.75">
      <c r="A52" s="4">
        <v>38</v>
      </c>
      <c r="B52" s="16" t="s">
        <v>36</v>
      </c>
      <c r="C52" s="49"/>
      <c r="D52" s="49"/>
      <c r="E52" s="160">
        <f t="shared" si="8"/>
        <v>0</v>
      </c>
      <c r="F52" s="49"/>
      <c r="G52" s="49"/>
      <c r="H52" s="160">
        <f t="shared" si="9"/>
        <v>0</v>
      </c>
      <c r="I52" s="49"/>
      <c r="J52" s="49"/>
      <c r="K52" s="160">
        <f t="shared" si="10"/>
        <v>0</v>
      </c>
      <c r="L52" s="48">
        <f t="shared" si="45"/>
        <v>0</v>
      </c>
      <c r="M52" s="49">
        <f t="shared" si="45"/>
        <v>0</v>
      </c>
      <c r="N52" s="160">
        <f t="shared" si="12"/>
        <v>0</v>
      </c>
    </row>
    <row r="53" spans="1:14" ht="15.75">
      <c r="A53" s="6">
        <v>39</v>
      </c>
      <c r="B53" s="15" t="s">
        <v>37</v>
      </c>
      <c r="C53" s="38"/>
      <c r="D53" s="38"/>
      <c r="E53" s="154">
        <f t="shared" si="8"/>
        <v>0</v>
      </c>
      <c r="F53" s="38"/>
      <c r="G53" s="38"/>
      <c r="H53" s="154">
        <f t="shared" si="9"/>
        <v>0</v>
      </c>
      <c r="I53" s="38"/>
      <c r="J53" s="38"/>
      <c r="K53" s="154">
        <f t="shared" si="10"/>
        <v>0</v>
      </c>
      <c r="L53" s="34">
        <f t="shared" si="45"/>
        <v>0</v>
      </c>
      <c r="M53" s="38">
        <f t="shared" si="45"/>
        <v>0</v>
      </c>
      <c r="N53" s="154">
        <f t="shared" si="12"/>
        <v>0</v>
      </c>
    </row>
    <row r="54" spans="1:14" ht="15.75">
      <c r="A54" s="6">
        <v>40</v>
      </c>
      <c r="B54" s="17" t="s">
        <v>38</v>
      </c>
      <c r="C54" s="38"/>
      <c r="D54" s="38"/>
      <c r="E54" s="154">
        <f t="shared" si="8"/>
        <v>0</v>
      </c>
      <c r="F54" s="38"/>
      <c r="G54" s="38"/>
      <c r="H54" s="154">
        <f t="shared" si="9"/>
        <v>0</v>
      </c>
      <c r="I54" s="38"/>
      <c r="J54" s="38"/>
      <c r="K54" s="154">
        <f t="shared" si="10"/>
        <v>0</v>
      </c>
      <c r="L54" s="34">
        <f t="shared" si="45"/>
        <v>0</v>
      </c>
      <c r="M54" s="38">
        <f t="shared" si="45"/>
        <v>0</v>
      </c>
      <c r="N54" s="154">
        <f t="shared" si="12"/>
        <v>0</v>
      </c>
    </row>
    <row r="55" spans="1:14" ht="16.5" thickBot="1">
      <c r="A55" s="1">
        <v>41</v>
      </c>
      <c r="B55" s="18" t="s">
        <v>39</v>
      </c>
      <c r="C55" s="39"/>
      <c r="D55" s="39"/>
      <c r="E55" s="157">
        <f t="shared" si="8"/>
        <v>0</v>
      </c>
      <c r="F55" s="39"/>
      <c r="G55" s="39"/>
      <c r="H55" s="157">
        <f t="shared" si="9"/>
        <v>0</v>
      </c>
      <c r="I55" s="39"/>
      <c r="J55" s="39"/>
      <c r="K55" s="157">
        <f t="shared" si="10"/>
        <v>0</v>
      </c>
      <c r="L55" s="35">
        <f t="shared" si="45"/>
        <v>0</v>
      </c>
      <c r="M55" s="39">
        <f t="shared" si="45"/>
        <v>0</v>
      </c>
      <c r="N55" s="157">
        <f t="shared" si="12"/>
        <v>0</v>
      </c>
    </row>
    <row r="56" spans="1:14" ht="16.5" thickBot="1">
      <c r="A56" s="5">
        <v>42</v>
      </c>
      <c r="B56" s="19" t="s">
        <v>49</v>
      </c>
      <c r="C56" s="41">
        <f t="shared" ref="C56" si="46">SUM(C48:C51,C53:C55)</f>
        <v>298976</v>
      </c>
      <c r="D56" s="41">
        <f t="shared" ref="D56:M56" si="47">SUM(D48:D51,D53:D55)</f>
        <v>14911</v>
      </c>
      <c r="E56" s="156">
        <f t="shared" si="8"/>
        <v>313887</v>
      </c>
      <c r="F56" s="41">
        <f t="shared" ref="F56" si="48">SUM(F48:F51,F53:F55)</f>
        <v>51278</v>
      </c>
      <c r="G56" s="41">
        <f t="shared" si="47"/>
        <v>1576</v>
      </c>
      <c r="H56" s="156">
        <f t="shared" si="9"/>
        <v>52854</v>
      </c>
      <c r="I56" s="41">
        <f t="shared" ref="I56" si="49">SUM(I48:I51,I53:I55)</f>
        <v>60486</v>
      </c>
      <c r="J56" s="41">
        <f t="shared" si="47"/>
        <v>-336</v>
      </c>
      <c r="K56" s="156">
        <f t="shared" si="10"/>
        <v>60150</v>
      </c>
      <c r="L56" s="40">
        <f t="shared" si="47"/>
        <v>410740</v>
      </c>
      <c r="M56" s="41">
        <f t="shared" si="47"/>
        <v>16151</v>
      </c>
      <c r="N56" s="156">
        <f t="shared" si="12"/>
        <v>426891</v>
      </c>
    </row>
    <row r="57" spans="1:14" ht="16.5" thickBot="1">
      <c r="A57" s="6">
        <v>43</v>
      </c>
      <c r="B57" s="13" t="s">
        <v>40</v>
      </c>
      <c r="C57" s="37"/>
      <c r="D57" s="37"/>
      <c r="E57" s="153">
        <f t="shared" si="8"/>
        <v>0</v>
      </c>
      <c r="F57" s="37"/>
      <c r="G57" s="37"/>
      <c r="H57" s="153">
        <f t="shared" si="9"/>
        <v>0</v>
      </c>
      <c r="I57" s="37"/>
      <c r="J57" s="37"/>
      <c r="K57" s="153">
        <f t="shared" si="10"/>
        <v>0</v>
      </c>
      <c r="L57" s="33">
        <f t="shared" ref="L57:M57" si="50">C57+F57+I57</f>
        <v>0</v>
      </c>
      <c r="M57" s="37">
        <f t="shared" si="50"/>
        <v>0</v>
      </c>
      <c r="N57" s="153">
        <f t="shared" si="12"/>
        <v>0</v>
      </c>
    </row>
    <row r="58" spans="1:14" ht="16.5" thickBot="1">
      <c r="A58" s="5">
        <v>44</v>
      </c>
      <c r="B58" s="20" t="s">
        <v>76</v>
      </c>
      <c r="C58" s="41">
        <f t="shared" ref="C58" si="51">SUM(C44:C46,C55,C56:C57)</f>
        <v>324934</v>
      </c>
      <c r="D58" s="41">
        <f t="shared" ref="D58:M58" si="52">SUM(D44:D46,D55,D56:D57)</f>
        <v>21141</v>
      </c>
      <c r="E58" s="156">
        <f t="shared" si="8"/>
        <v>346075</v>
      </c>
      <c r="F58" s="41">
        <f t="shared" ref="F58" si="53">SUM(F44:F46,F55,F56:F57)</f>
        <v>54085</v>
      </c>
      <c r="G58" s="41">
        <f t="shared" si="52"/>
        <v>1576</v>
      </c>
      <c r="H58" s="156">
        <f t="shared" si="9"/>
        <v>55661</v>
      </c>
      <c r="I58" s="41">
        <f t="shared" ref="I58" si="54">SUM(I44:I46,I55,I56:I57)</f>
        <v>60486</v>
      </c>
      <c r="J58" s="41">
        <f t="shared" si="52"/>
        <v>-336</v>
      </c>
      <c r="K58" s="156">
        <f t="shared" si="10"/>
        <v>60150</v>
      </c>
      <c r="L58" s="40">
        <f t="shared" si="52"/>
        <v>439505</v>
      </c>
      <c r="M58" s="41">
        <f t="shared" si="52"/>
        <v>22381</v>
      </c>
      <c r="N58" s="156">
        <f t="shared" si="12"/>
        <v>461886</v>
      </c>
    </row>
    <row r="59" spans="1:14" ht="16.5" thickBot="1">
      <c r="A59" s="212">
        <v>45</v>
      </c>
      <c r="B59" s="213" t="s">
        <v>113</v>
      </c>
      <c r="C59" s="41">
        <v>3304</v>
      </c>
      <c r="D59" s="41"/>
      <c r="E59" s="156">
        <f t="shared" si="8"/>
        <v>3304</v>
      </c>
      <c r="F59" s="41">
        <v>60</v>
      </c>
      <c r="G59" s="41"/>
      <c r="H59" s="156">
        <f t="shared" si="9"/>
        <v>60</v>
      </c>
      <c r="I59" s="41"/>
      <c r="J59" s="41"/>
      <c r="K59" s="156">
        <f t="shared" si="10"/>
        <v>0</v>
      </c>
      <c r="L59" s="40">
        <f t="shared" ref="L59" si="55">C59+F59+I59</f>
        <v>3364</v>
      </c>
      <c r="M59" s="41">
        <f t="shared" ref="M59" si="56">D59+G59+J59</f>
        <v>0</v>
      </c>
      <c r="N59" s="156">
        <f t="shared" si="12"/>
        <v>3364</v>
      </c>
    </row>
    <row r="60" spans="1:14" ht="15.75">
      <c r="A60" s="6">
        <v>46</v>
      </c>
      <c r="B60" s="13" t="s">
        <v>44</v>
      </c>
      <c r="C60" s="37"/>
      <c r="D60" s="37"/>
      <c r="E60" s="153">
        <f t="shared" si="8"/>
        <v>0</v>
      </c>
      <c r="F60" s="37"/>
      <c r="G60" s="37"/>
      <c r="H60" s="153">
        <f t="shared" si="9"/>
        <v>0</v>
      </c>
      <c r="I60" s="37"/>
      <c r="J60" s="37"/>
      <c r="K60" s="153">
        <f t="shared" si="10"/>
        <v>0</v>
      </c>
      <c r="L60" s="33">
        <f t="shared" ref="L60:M62" si="57">C60+F60+I60</f>
        <v>0</v>
      </c>
      <c r="M60" s="37">
        <f t="shared" si="57"/>
        <v>0</v>
      </c>
      <c r="N60" s="153">
        <f t="shared" si="12"/>
        <v>0</v>
      </c>
    </row>
    <row r="61" spans="1:14" ht="15.75">
      <c r="A61" s="6">
        <v>47</v>
      </c>
      <c r="B61" s="15" t="s">
        <v>41</v>
      </c>
      <c r="C61" s="38"/>
      <c r="D61" s="38"/>
      <c r="E61" s="154">
        <f t="shared" si="8"/>
        <v>0</v>
      </c>
      <c r="F61" s="38"/>
      <c r="G61" s="38"/>
      <c r="H61" s="154">
        <f t="shared" si="9"/>
        <v>0</v>
      </c>
      <c r="I61" s="38"/>
      <c r="J61" s="38"/>
      <c r="K61" s="154">
        <f t="shared" si="10"/>
        <v>0</v>
      </c>
      <c r="L61" s="34">
        <f t="shared" si="57"/>
        <v>0</v>
      </c>
      <c r="M61" s="38"/>
      <c r="N61" s="154">
        <f t="shared" si="12"/>
        <v>0</v>
      </c>
    </row>
    <row r="62" spans="1:14" ht="16.5" thickBot="1">
      <c r="A62" s="6">
        <v>48</v>
      </c>
      <c r="B62" s="15" t="s">
        <v>42</v>
      </c>
      <c r="C62" s="39"/>
      <c r="D62" s="39"/>
      <c r="E62" s="157">
        <f t="shared" si="8"/>
        <v>0</v>
      </c>
      <c r="F62" s="39"/>
      <c r="G62" s="39"/>
      <c r="H62" s="157">
        <f t="shared" si="9"/>
        <v>0</v>
      </c>
      <c r="I62" s="39"/>
      <c r="J62" s="39"/>
      <c r="K62" s="157">
        <f t="shared" si="10"/>
        <v>0</v>
      </c>
      <c r="L62" s="35">
        <f t="shared" si="57"/>
        <v>0</v>
      </c>
      <c r="M62" s="39">
        <f t="shared" si="57"/>
        <v>0</v>
      </c>
      <c r="N62" s="157">
        <f t="shared" si="12"/>
        <v>0</v>
      </c>
    </row>
    <row r="63" spans="1:14" ht="16.5" thickBot="1">
      <c r="A63" s="5">
        <v>49</v>
      </c>
      <c r="B63" s="20" t="s">
        <v>50</v>
      </c>
      <c r="C63" s="41">
        <f t="shared" ref="C63" si="58">SUM(C60:C62)</f>
        <v>0</v>
      </c>
      <c r="D63" s="41">
        <f t="shared" ref="D63:M63" si="59">SUM(D60:D62)</f>
        <v>0</v>
      </c>
      <c r="E63" s="156">
        <f t="shared" si="8"/>
        <v>0</v>
      </c>
      <c r="F63" s="41">
        <f t="shared" ref="F63" si="60">SUM(F60:F62)</f>
        <v>0</v>
      </c>
      <c r="G63" s="41">
        <f t="shared" si="59"/>
        <v>0</v>
      </c>
      <c r="H63" s="156">
        <f t="shared" si="9"/>
        <v>0</v>
      </c>
      <c r="I63" s="41">
        <f t="shared" ref="I63" si="61">SUM(I60:I62)</f>
        <v>0</v>
      </c>
      <c r="J63" s="41">
        <f t="shared" si="59"/>
        <v>0</v>
      </c>
      <c r="K63" s="156">
        <f t="shared" si="10"/>
        <v>0</v>
      </c>
      <c r="L63" s="40">
        <f t="shared" si="59"/>
        <v>0</v>
      </c>
      <c r="M63" s="41">
        <f t="shared" si="59"/>
        <v>0</v>
      </c>
      <c r="N63" s="156">
        <f t="shared" si="12"/>
        <v>0</v>
      </c>
    </row>
    <row r="64" spans="1:14" ht="16.5" thickBot="1">
      <c r="A64" s="229" t="s">
        <v>77</v>
      </c>
      <c r="B64" s="230"/>
      <c r="C64" s="45">
        <f>C58+C59+C63</f>
        <v>328238</v>
      </c>
      <c r="D64" s="45">
        <f>D58+D59+D63</f>
        <v>21141</v>
      </c>
      <c r="E64" s="158">
        <f t="shared" si="8"/>
        <v>349379</v>
      </c>
      <c r="F64" s="45">
        <f>F58+F59+F63</f>
        <v>54145</v>
      </c>
      <c r="G64" s="45">
        <f>G58+G59+G63</f>
        <v>1576</v>
      </c>
      <c r="H64" s="158">
        <f t="shared" si="9"/>
        <v>55721</v>
      </c>
      <c r="I64" s="45">
        <f>I58+I59+I63</f>
        <v>60486</v>
      </c>
      <c r="J64" s="45">
        <f>J58+J59+J63</f>
        <v>-336</v>
      </c>
      <c r="K64" s="158">
        <f t="shared" si="10"/>
        <v>60150</v>
      </c>
      <c r="L64" s="44">
        <f>L58+L59+L63</f>
        <v>442869</v>
      </c>
      <c r="M64" s="45">
        <f>M58+M59+M63</f>
        <v>22381</v>
      </c>
      <c r="N64" s="158">
        <f t="shared" si="12"/>
        <v>465250</v>
      </c>
    </row>
    <row r="65" spans="1:14" ht="17.25" thickTop="1" thickBot="1">
      <c r="A65" s="215"/>
      <c r="B65" s="216"/>
      <c r="C65" s="10"/>
      <c r="D65" s="10"/>
      <c r="E65" s="159"/>
      <c r="F65" s="10"/>
      <c r="G65" s="10"/>
      <c r="H65" s="159"/>
      <c r="I65" s="10"/>
      <c r="J65" s="10"/>
      <c r="K65" s="159"/>
      <c r="L65" s="50"/>
      <c r="M65" s="10"/>
      <c r="N65" s="159"/>
    </row>
    <row r="66" spans="1:14" ht="16.5" thickBot="1">
      <c r="A66" s="9">
        <v>50</v>
      </c>
      <c r="B66" s="11" t="s">
        <v>43</v>
      </c>
      <c r="C66" s="201">
        <v>89</v>
      </c>
      <c r="D66" s="201"/>
      <c r="E66" s="202">
        <f t="shared" si="8"/>
        <v>89</v>
      </c>
      <c r="F66" s="201">
        <v>16</v>
      </c>
      <c r="G66" s="201"/>
      <c r="H66" s="202">
        <f t="shared" si="9"/>
        <v>16</v>
      </c>
      <c r="I66" s="201">
        <v>9.75</v>
      </c>
      <c r="J66" s="201"/>
      <c r="K66" s="202">
        <f t="shared" si="10"/>
        <v>9.75</v>
      </c>
      <c r="L66" s="200">
        <f>C66+F66+I66</f>
        <v>114.75</v>
      </c>
      <c r="M66" s="201">
        <f>D66+G66+J66</f>
        <v>0</v>
      </c>
      <c r="N66" s="202">
        <f t="shared" si="12"/>
        <v>114.75</v>
      </c>
    </row>
  </sheetData>
  <mergeCells count="31">
    <mergeCell ref="A64:B64"/>
    <mergeCell ref="A65:B65"/>
    <mergeCell ref="L10:L11"/>
    <mergeCell ref="M10:M11"/>
    <mergeCell ref="N10:N11"/>
    <mergeCell ref="A12:B12"/>
    <mergeCell ref="A43:B43"/>
    <mergeCell ref="A44:B44"/>
    <mergeCell ref="C10:C11"/>
    <mergeCell ref="D10:D11"/>
    <mergeCell ref="E10:E11"/>
    <mergeCell ref="F10:F11"/>
    <mergeCell ref="G10:G11"/>
    <mergeCell ref="I10:I11"/>
    <mergeCell ref="J10:J11"/>
    <mergeCell ref="K2:N2"/>
    <mergeCell ref="L3:N3"/>
    <mergeCell ref="J1:N1"/>
    <mergeCell ref="C1:E4"/>
    <mergeCell ref="A7:A11"/>
    <mergeCell ref="B7:B11"/>
    <mergeCell ref="C7:E7"/>
    <mergeCell ref="F7:H7"/>
    <mergeCell ref="H10:H11"/>
    <mergeCell ref="K10:K11"/>
    <mergeCell ref="L7:N7"/>
    <mergeCell ref="C8:E9"/>
    <mergeCell ref="F8:H9"/>
    <mergeCell ref="I8:K9"/>
    <mergeCell ref="L8:N9"/>
    <mergeCell ref="I7:K7"/>
  </mergeCells>
  <pageMargins left="0.39370078740157483" right="0.23622047244094491" top="0.15748031496062992" bottom="0.23622047244094491" header="0.15748031496062992" footer="0.19685039370078741"/>
  <pageSetup paperSize="9" scale="49" orientation="landscape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64"/>
  <sheetViews>
    <sheetView view="pageBreakPreview" zoomScale="80" zoomScaleNormal="80" zoomScaleSheetLayoutView="80" workbookViewId="0">
      <pane xSplit="2" ySplit="10" topLeftCell="J35" activePane="bottomRight" state="frozen"/>
      <selection pane="topRight" activeCell="C1" sqref="C1"/>
      <selection pane="bottomLeft" activeCell="A11" sqref="A11"/>
      <selection pane="bottomRight" activeCell="J2" sqref="J2"/>
    </sheetView>
  </sheetViews>
  <sheetFormatPr defaultRowHeight="15"/>
  <cols>
    <col min="1" max="1" width="11.7109375" bestFit="1" customWidth="1"/>
    <col min="2" max="2" width="93.140625" bestFit="1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51"/>
      <c r="B1" s="51"/>
      <c r="C1" s="248"/>
      <c r="D1" s="248"/>
      <c r="E1" s="248"/>
      <c r="F1" s="52"/>
      <c r="G1" s="52"/>
      <c r="H1" s="52"/>
      <c r="I1" s="52"/>
      <c r="J1" s="214" t="s">
        <v>122</v>
      </c>
      <c r="K1" s="214"/>
      <c r="L1" s="214"/>
      <c r="M1" s="214"/>
      <c r="N1" s="214"/>
    </row>
    <row r="2" spans="1:14" ht="18.75">
      <c r="A2" s="51"/>
      <c r="B2" s="51"/>
      <c r="C2" s="248"/>
      <c r="D2" s="248"/>
      <c r="E2" s="248"/>
      <c r="F2" s="52"/>
      <c r="G2" s="52"/>
      <c r="H2" s="52"/>
      <c r="I2" s="52"/>
      <c r="J2" s="52"/>
      <c r="K2" s="214" t="s">
        <v>111</v>
      </c>
      <c r="L2" s="214"/>
      <c r="M2" s="214"/>
      <c r="N2" s="214"/>
    </row>
    <row r="3" spans="1:14">
      <c r="K3" s="249" t="s">
        <v>112</v>
      </c>
      <c r="L3" s="249"/>
      <c r="M3" s="249"/>
      <c r="N3" s="249"/>
    </row>
    <row r="4" spans="1:14" ht="15.75" thickBot="1"/>
    <row r="5" spans="1:14" ht="16.5" thickBot="1">
      <c r="A5" s="217" t="s">
        <v>0</v>
      </c>
      <c r="B5" s="220" t="s">
        <v>1</v>
      </c>
      <c r="C5" s="241">
        <v>2103</v>
      </c>
      <c r="D5" s="242"/>
      <c r="E5" s="243"/>
      <c r="F5" s="244" t="s">
        <v>65</v>
      </c>
      <c r="G5" s="245"/>
      <c r="H5" s="246"/>
      <c r="I5" s="244" t="s">
        <v>64</v>
      </c>
      <c r="J5" s="245"/>
      <c r="K5" s="246"/>
      <c r="L5" s="241">
        <v>2103</v>
      </c>
      <c r="M5" s="242"/>
      <c r="N5" s="243"/>
    </row>
    <row r="6" spans="1:14" ht="15" customHeight="1">
      <c r="A6" s="218"/>
      <c r="B6" s="221"/>
      <c r="C6" s="233" t="s">
        <v>53</v>
      </c>
      <c r="D6" s="234"/>
      <c r="E6" s="231"/>
      <c r="F6" s="233" t="s">
        <v>66</v>
      </c>
      <c r="G6" s="234"/>
      <c r="H6" s="234"/>
      <c r="I6" s="233" t="s">
        <v>67</v>
      </c>
      <c r="J6" s="234"/>
      <c r="K6" s="231"/>
      <c r="L6" s="233" t="s">
        <v>68</v>
      </c>
      <c r="M6" s="234"/>
      <c r="N6" s="231"/>
    </row>
    <row r="7" spans="1:14" ht="51.75" customHeight="1" thickBot="1">
      <c r="A7" s="218"/>
      <c r="B7" s="221"/>
      <c r="C7" s="235"/>
      <c r="D7" s="236"/>
      <c r="E7" s="232"/>
      <c r="F7" s="235"/>
      <c r="G7" s="236"/>
      <c r="H7" s="236"/>
      <c r="I7" s="235"/>
      <c r="J7" s="236"/>
      <c r="K7" s="232"/>
      <c r="L7" s="235"/>
      <c r="M7" s="236"/>
      <c r="N7" s="232"/>
    </row>
    <row r="8" spans="1:14" ht="15" customHeight="1">
      <c r="A8" s="218"/>
      <c r="B8" s="221"/>
      <c r="C8" s="237" t="s">
        <v>115</v>
      </c>
      <c r="D8" s="239" t="s">
        <v>109</v>
      </c>
      <c r="E8" s="231" t="s">
        <v>110</v>
      </c>
      <c r="F8" s="237" t="s">
        <v>115</v>
      </c>
      <c r="G8" s="239" t="s">
        <v>109</v>
      </c>
      <c r="H8" s="231" t="s">
        <v>110</v>
      </c>
      <c r="I8" s="237" t="s">
        <v>115</v>
      </c>
      <c r="J8" s="239" t="s">
        <v>109</v>
      </c>
      <c r="K8" s="231" t="s">
        <v>110</v>
      </c>
      <c r="L8" s="237" t="s">
        <v>115</v>
      </c>
      <c r="M8" s="239" t="s">
        <v>109</v>
      </c>
      <c r="N8" s="231" t="s">
        <v>110</v>
      </c>
    </row>
    <row r="9" spans="1:14" ht="44.25" customHeight="1" thickBot="1">
      <c r="A9" s="219"/>
      <c r="B9" s="222"/>
      <c r="C9" s="238"/>
      <c r="D9" s="240"/>
      <c r="E9" s="232"/>
      <c r="F9" s="238"/>
      <c r="G9" s="240"/>
      <c r="H9" s="232"/>
      <c r="I9" s="238"/>
      <c r="J9" s="240"/>
      <c r="K9" s="232"/>
      <c r="L9" s="238"/>
      <c r="M9" s="240"/>
      <c r="N9" s="232"/>
    </row>
    <row r="10" spans="1:14" ht="16.5" thickBot="1">
      <c r="A10" s="223" t="s">
        <v>2</v>
      </c>
      <c r="B10" s="224"/>
      <c r="C10" s="32">
        <v>25</v>
      </c>
      <c r="D10" s="36">
        <f t="shared" ref="D10:F10" si="0">+C10+1</f>
        <v>26</v>
      </c>
      <c r="E10" s="31">
        <f t="shared" si="0"/>
        <v>27</v>
      </c>
      <c r="F10" s="31">
        <f t="shared" si="0"/>
        <v>28</v>
      </c>
      <c r="G10" s="31">
        <f t="shared" ref="G10" si="1">+F10+1</f>
        <v>29</v>
      </c>
      <c r="H10" s="31">
        <f t="shared" ref="H10" si="2">+G10+1</f>
        <v>30</v>
      </c>
      <c r="I10" s="31">
        <f t="shared" ref="I10" si="3">+H10+1</f>
        <v>31</v>
      </c>
      <c r="J10" s="31">
        <f t="shared" ref="J10" si="4">+I10+1</f>
        <v>32</v>
      </c>
      <c r="K10" s="31">
        <f t="shared" ref="K10:L10" si="5">+J10+1</f>
        <v>33</v>
      </c>
      <c r="L10" s="31">
        <f t="shared" si="5"/>
        <v>34</v>
      </c>
      <c r="M10" s="31">
        <f t="shared" ref="M10" si="6">+L10+1</f>
        <v>35</v>
      </c>
      <c r="N10" s="31">
        <f t="shared" ref="N10" si="7">+M10+1</f>
        <v>36</v>
      </c>
    </row>
    <row r="11" spans="1:14" ht="15.75">
      <c r="A11" s="1">
        <v>1</v>
      </c>
      <c r="B11" s="21" t="s">
        <v>3</v>
      </c>
      <c r="C11" s="37">
        <f>193696+31+8171-62-5703</f>
        <v>196133</v>
      </c>
      <c r="D11" s="37">
        <f>560+476-6746</f>
        <v>-5710</v>
      </c>
      <c r="E11" s="153">
        <f>SUM(C11:D11)</f>
        <v>190423</v>
      </c>
      <c r="F11" s="37">
        <f>36144+16+1978-61+158</f>
        <v>38235</v>
      </c>
      <c r="G11" s="37"/>
      <c r="H11" s="153">
        <f>SUM(F11:G11)</f>
        <v>38235</v>
      </c>
      <c r="I11" s="37">
        <f>83786+53+3460</f>
        <v>87299</v>
      </c>
      <c r="J11" s="37">
        <f>655+453</f>
        <v>1108</v>
      </c>
      <c r="K11" s="153">
        <f>SUM(I11:J11)</f>
        <v>88407</v>
      </c>
      <c r="L11" s="33">
        <f>C11+F11+I11</f>
        <v>321667</v>
      </c>
      <c r="M11" s="37">
        <f>D11+G11+J11</f>
        <v>-4602</v>
      </c>
      <c r="N11" s="154">
        <f>E11+H11+K11</f>
        <v>317065</v>
      </c>
    </row>
    <row r="12" spans="1:14" ht="15.75">
      <c r="A12" s="2">
        <v>2</v>
      </c>
      <c r="B12" s="15" t="s">
        <v>4</v>
      </c>
      <c r="C12" s="38">
        <f>52030+2206-16-1575</f>
        <v>52645</v>
      </c>
      <c r="D12" s="38">
        <f>151+129</f>
        <v>280</v>
      </c>
      <c r="E12" s="154">
        <f t="shared" ref="E12:E64" si="8">SUM(C12:D12)</f>
        <v>52925</v>
      </c>
      <c r="F12" s="38">
        <f>9621+534-16+32</f>
        <v>10171</v>
      </c>
      <c r="G12" s="38">
        <v>49</v>
      </c>
      <c r="H12" s="154">
        <f t="shared" ref="H12:H64" si="9">SUM(F12:G12)</f>
        <v>10220</v>
      </c>
      <c r="I12" s="38">
        <f>22454+934</f>
        <v>23388</v>
      </c>
      <c r="J12" s="38">
        <v>177</v>
      </c>
      <c r="K12" s="154">
        <f t="shared" ref="K12:K64" si="10">SUM(I12:J12)</f>
        <v>23565</v>
      </c>
      <c r="L12" s="53">
        <f t="shared" ref="L12:M14" si="11">C12+F12+I12</f>
        <v>86204</v>
      </c>
      <c r="M12" s="38">
        <f t="shared" si="11"/>
        <v>506</v>
      </c>
      <c r="N12" s="154">
        <f t="shared" ref="N12:N64" si="12">E12+H12+K12</f>
        <v>86710</v>
      </c>
    </row>
    <row r="13" spans="1:14" ht="15.75">
      <c r="A13" s="2">
        <v>3</v>
      </c>
      <c r="B13" s="22" t="s">
        <v>5</v>
      </c>
      <c r="C13" s="38">
        <f>41225+5607+7887+827+15366</f>
        <v>70912</v>
      </c>
      <c r="D13" s="38">
        <f>170+5424+6578</f>
        <v>12172</v>
      </c>
      <c r="E13" s="154">
        <f t="shared" si="8"/>
        <v>83084</v>
      </c>
      <c r="F13" s="38">
        <f>20333+1409+31-5+11439</f>
        <v>33207</v>
      </c>
      <c r="G13" s="38">
        <f>91+49</f>
        <v>140</v>
      </c>
      <c r="H13" s="154">
        <f t="shared" si="9"/>
        <v>33347</v>
      </c>
      <c r="I13" s="38">
        <f>7092-7+1250</f>
        <v>8335</v>
      </c>
      <c r="J13" s="38">
        <f>-389-72+2429</f>
        <v>1968</v>
      </c>
      <c r="K13" s="154">
        <f t="shared" si="10"/>
        <v>10303</v>
      </c>
      <c r="L13" s="53">
        <f t="shared" si="11"/>
        <v>112454</v>
      </c>
      <c r="M13" s="38">
        <f t="shared" si="11"/>
        <v>14280</v>
      </c>
      <c r="N13" s="154">
        <f t="shared" si="12"/>
        <v>126734</v>
      </c>
    </row>
    <row r="14" spans="1:14" ht="15.75">
      <c r="A14" s="3">
        <v>4</v>
      </c>
      <c r="B14" s="23" t="s">
        <v>6</v>
      </c>
      <c r="C14" s="38">
        <v>1125</v>
      </c>
      <c r="D14" s="38">
        <v>1151</v>
      </c>
      <c r="E14" s="154">
        <f t="shared" si="8"/>
        <v>2276</v>
      </c>
      <c r="F14" s="38">
        <v>270</v>
      </c>
      <c r="G14" s="38"/>
      <c r="H14" s="154">
        <f t="shared" si="9"/>
        <v>270</v>
      </c>
      <c r="I14" s="38">
        <v>357</v>
      </c>
      <c r="J14" s="38">
        <v>668</v>
      </c>
      <c r="K14" s="154">
        <f t="shared" si="10"/>
        <v>1025</v>
      </c>
      <c r="L14" s="54">
        <f t="shared" si="11"/>
        <v>1752</v>
      </c>
      <c r="M14" s="38">
        <f t="shared" si="11"/>
        <v>1819</v>
      </c>
      <c r="N14" s="154">
        <f t="shared" si="12"/>
        <v>3571</v>
      </c>
    </row>
    <row r="15" spans="1:14" ht="15.75">
      <c r="A15" s="2">
        <v>5</v>
      </c>
      <c r="B15" s="24" t="s">
        <v>7</v>
      </c>
      <c r="C15" s="38">
        <f t="shared" ref="C15" si="13">SUM(C13:C14)</f>
        <v>72037</v>
      </c>
      <c r="D15" s="38">
        <f t="shared" ref="D15:M15" si="14">SUM(D13:D14)</f>
        <v>13323</v>
      </c>
      <c r="E15" s="154">
        <f t="shared" si="8"/>
        <v>85360</v>
      </c>
      <c r="F15" s="38">
        <f t="shared" ref="F15" si="15">SUM(F13:F14)</f>
        <v>33477</v>
      </c>
      <c r="G15" s="38">
        <f t="shared" si="14"/>
        <v>140</v>
      </c>
      <c r="H15" s="154">
        <f t="shared" si="9"/>
        <v>33617</v>
      </c>
      <c r="I15" s="38">
        <f t="shared" ref="I15" si="16">SUM(I13:I14)</f>
        <v>8692</v>
      </c>
      <c r="J15" s="38">
        <f t="shared" si="14"/>
        <v>2636</v>
      </c>
      <c r="K15" s="154">
        <f t="shared" si="10"/>
        <v>11328</v>
      </c>
      <c r="L15" s="34">
        <f t="shared" si="14"/>
        <v>114206</v>
      </c>
      <c r="M15" s="38">
        <f t="shared" si="14"/>
        <v>16099</v>
      </c>
      <c r="N15" s="154">
        <f t="shared" si="12"/>
        <v>130305</v>
      </c>
    </row>
    <row r="16" spans="1:14" ht="16.5" thickBot="1">
      <c r="A16" s="4">
        <v>6</v>
      </c>
      <c r="B16" s="16" t="s">
        <v>8</v>
      </c>
      <c r="C16" s="43">
        <f>12893+1056</f>
        <v>13949</v>
      </c>
      <c r="D16" s="43"/>
      <c r="E16" s="155">
        <f t="shared" si="8"/>
        <v>13949</v>
      </c>
      <c r="F16" s="43">
        <f>12020+1409</f>
        <v>13429</v>
      </c>
      <c r="G16" s="43"/>
      <c r="H16" s="155">
        <f t="shared" si="9"/>
        <v>13429</v>
      </c>
      <c r="I16" s="43">
        <v>0</v>
      </c>
      <c r="J16" s="43"/>
      <c r="K16" s="155">
        <f t="shared" si="10"/>
        <v>0</v>
      </c>
      <c r="L16" s="42">
        <f>C16+F16+I16</f>
        <v>27378</v>
      </c>
      <c r="M16" s="43">
        <f>D16+G16+J16</f>
        <v>0</v>
      </c>
      <c r="N16" s="155">
        <f t="shared" si="12"/>
        <v>27378</v>
      </c>
    </row>
    <row r="17" spans="1:14" ht="16.5" thickBot="1">
      <c r="A17" s="5">
        <v>7</v>
      </c>
      <c r="B17" s="20" t="s">
        <v>9</v>
      </c>
      <c r="C17" s="41">
        <f t="shared" ref="C17" si="17">SUM(C11:C12,C15)</f>
        <v>320815</v>
      </c>
      <c r="D17" s="41">
        <f t="shared" ref="D17:M17" si="18">SUM(D11:D12,D15)</f>
        <v>7893</v>
      </c>
      <c r="E17" s="156">
        <f t="shared" si="8"/>
        <v>328708</v>
      </c>
      <c r="F17" s="41">
        <f t="shared" ref="F17" si="19">SUM(F11:F12,F15)</f>
        <v>81883</v>
      </c>
      <c r="G17" s="41">
        <f t="shared" si="18"/>
        <v>189</v>
      </c>
      <c r="H17" s="156">
        <f t="shared" si="9"/>
        <v>82072</v>
      </c>
      <c r="I17" s="41">
        <f t="shared" ref="I17" si="20">SUM(I11:I12,I15)</f>
        <v>119379</v>
      </c>
      <c r="J17" s="41">
        <f t="shared" si="18"/>
        <v>3921</v>
      </c>
      <c r="K17" s="156">
        <f t="shared" si="10"/>
        <v>123300</v>
      </c>
      <c r="L17" s="40">
        <f t="shared" si="18"/>
        <v>522077</v>
      </c>
      <c r="M17" s="41">
        <f t="shared" si="18"/>
        <v>12003</v>
      </c>
      <c r="N17" s="156">
        <f t="shared" si="12"/>
        <v>534080</v>
      </c>
    </row>
    <row r="18" spans="1:14" ht="15.75">
      <c r="A18" s="6">
        <v>8</v>
      </c>
      <c r="B18" s="13" t="s">
        <v>10</v>
      </c>
      <c r="C18" s="37"/>
      <c r="D18" s="37"/>
      <c r="E18" s="153">
        <f t="shared" si="8"/>
        <v>0</v>
      </c>
      <c r="F18" s="37"/>
      <c r="G18" s="37"/>
      <c r="H18" s="153">
        <f t="shared" si="9"/>
        <v>0</v>
      </c>
      <c r="I18" s="37"/>
      <c r="J18" s="37"/>
      <c r="K18" s="153">
        <f t="shared" si="10"/>
        <v>0</v>
      </c>
      <c r="L18" s="33">
        <f t="shared" ref="L18:M22" si="21">C18+F18+I18</f>
        <v>0</v>
      </c>
      <c r="M18" s="37">
        <f t="shared" si="21"/>
        <v>0</v>
      </c>
      <c r="N18" s="153">
        <f t="shared" si="12"/>
        <v>0</v>
      </c>
    </row>
    <row r="19" spans="1:14" ht="15.75">
      <c r="A19" s="2">
        <v>9</v>
      </c>
      <c r="B19" s="15" t="s">
        <v>11</v>
      </c>
      <c r="C19" s="38"/>
      <c r="D19" s="38"/>
      <c r="E19" s="154">
        <f t="shared" si="8"/>
        <v>0</v>
      </c>
      <c r="F19" s="38"/>
      <c r="G19" s="38"/>
      <c r="H19" s="154">
        <f t="shared" si="9"/>
        <v>0</v>
      </c>
      <c r="I19" s="38"/>
      <c r="J19" s="38"/>
      <c r="K19" s="154">
        <f t="shared" si="10"/>
        <v>0</v>
      </c>
      <c r="L19" s="34">
        <f t="shared" si="21"/>
        <v>0</v>
      </c>
      <c r="M19" s="38">
        <f t="shared" si="21"/>
        <v>0</v>
      </c>
      <c r="N19" s="154">
        <f t="shared" si="12"/>
        <v>0</v>
      </c>
    </row>
    <row r="20" spans="1:14" ht="15.75">
      <c r="A20" s="6">
        <v>10</v>
      </c>
      <c r="B20" s="13" t="s">
        <v>12</v>
      </c>
      <c r="C20" s="38">
        <v>772</v>
      </c>
      <c r="D20" s="38"/>
      <c r="E20" s="154">
        <f t="shared" si="8"/>
        <v>772</v>
      </c>
      <c r="F20" s="38">
        <v>4386</v>
      </c>
      <c r="G20" s="38"/>
      <c r="H20" s="154">
        <f t="shared" si="9"/>
        <v>4386</v>
      </c>
      <c r="I20" s="38"/>
      <c r="J20" s="38"/>
      <c r="K20" s="154">
        <f t="shared" si="10"/>
        <v>0</v>
      </c>
      <c r="L20" s="34">
        <f t="shared" si="21"/>
        <v>5158</v>
      </c>
      <c r="M20" s="38">
        <f t="shared" si="21"/>
        <v>0</v>
      </c>
      <c r="N20" s="154">
        <f t="shared" si="12"/>
        <v>5158</v>
      </c>
    </row>
    <row r="21" spans="1:14" ht="15.75">
      <c r="A21" s="2">
        <v>11</v>
      </c>
      <c r="B21" s="25" t="s">
        <v>116</v>
      </c>
      <c r="C21" s="38"/>
      <c r="D21" s="38"/>
      <c r="E21" s="154">
        <f t="shared" si="8"/>
        <v>0</v>
      </c>
      <c r="F21" s="38"/>
      <c r="G21" s="38"/>
      <c r="H21" s="154">
        <f t="shared" si="9"/>
        <v>0</v>
      </c>
      <c r="I21" s="38"/>
      <c r="J21" s="38"/>
      <c r="K21" s="154">
        <f t="shared" si="10"/>
        <v>0</v>
      </c>
      <c r="L21" s="34">
        <f t="shared" si="21"/>
        <v>0</v>
      </c>
      <c r="M21" s="38">
        <f t="shared" si="21"/>
        <v>0</v>
      </c>
      <c r="N21" s="154">
        <f t="shared" si="12"/>
        <v>0</v>
      </c>
    </row>
    <row r="22" spans="1:14" ht="16.5" thickBot="1">
      <c r="A22" s="1">
        <v>12</v>
      </c>
      <c r="B22" s="26" t="s">
        <v>117</v>
      </c>
      <c r="C22" s="39"/>
      <c r="D22" s="39"/>
      <c r="E22" s="157">
        <f t="shared" si="8"/>
        <v>0</v>
      </c>
      <c r="F22" s="39"/>
      <c r="G22" s="39"/>
      <c r="H22" s="157">
        <f t="shared" si="9"/>
        <v>0</v>
      </c>
      <c r="I22" s="39"/>
      <c r="J22" s="39"/>
      <c r="K22" s="157">
        <f t="shared" si="10"/>
        <v>0</v>
      </c>
      <c r="L22" s="35">
        <f t="shared" si="21"/>
        <v>0</v>
      </c>
      <c r="M22" s="39">
        <f t="shared" si="21"/>
        <v>0</v>
      </c>
      <c r="N22" s="157">
        <f t="shared" si="12"/>
        <v>0</v>
      </c>
    </row>
    <row r="23" spans="1:14" ht="16.5" thickBot="1">
      <c r="A23" s="5">
        <v>13</v>
      </c>
      <c r="B23" s="27" t="s">
        <v>13</v>
      </c>
      <c r="C23" s="41">
        <f t="shared" ref="C23" si="22">SUM(C18:C22)</f>
        <v>772</v>
      </c>
      <c r="D23" s="41">
        <f t="shared" ref="D23:M23" si="23">SUM(D18:D22)</f>
        <v>0</v>
      </c>
      <c r="E23" s="156">
        <f t="shared" si="8"/>
        <v>772</v>
      </c>
      <c r="F23" s="41">
        <f t="shared" ref="F23" si="24">SUM(F18:F22)</f>
        <v>4386</v>
      </c>
      <c r="G23" s="41">
        <f t="shared" si="23"/>
        <v>0</v>
      </c>
      <c r="H23" s="156">
        <f t="shared" si="9"/>
        <v>4386</v>
      </c>
      <c r="I23" s="41">
        <f t="shared" ref="I23" si="25">SUM(I18:I22)</f>
        <v>0</v>
      </c>
      <c r="J23" s="41">
        <f t="shared" si="23"/>
        <v>0</v>
      </c>
      <c r="K23" s="156">
        <f t="shared" si="10"/>
        <v>0</v>
      </c>
      <c r="L23" s="40">
        <f t="shared" si="23"/>
        <v>5158</v>
      </c>
      <c r="M23" s="41">
        <f t="shared" si="23"/>
        <v>0</v>
      </c>
      <c r="N23" s="156">
        <f t="shared" si="12"/>
        <v>5158</v>
      </c>
    </row>
    <row r="24" spans="1:14" ht="15.75">
      <c r="A24" s="6">
        <v>14</v>
      </c>
      <c r="B24" s="13" t="s">
        <v>14</v>
      </c>
      <c r="C24" s="37"/>
      <c r="D24" s="37"/>
      <c r="E24" s="153">
        <f t="shared" si="8"/>
        <v>0</v>
      </c>
      <c r="F24" s="37"/>
      <c r="G24" s="37"/>
      <c r="H24" s="153">
        <f t="shared" si="9"/>
        <v>0</v>
      </c>
      <c r="I24" s="37"/>
      <c r="J24" s="37"/>
      <c r="K24" s="153">
        <f t="shared" si="10"/>
        <v>0</v>
      </c>
      <c r="L24" s="33">
        <f t="shared" ref="L24:M30" si="26">C24+F24+I24</f>
        <v>0</v>
      </c>
      <c r="M24" s="37">
        <f t="shared" si="26"/>
        <v>0</v>
      </c>
      <c r="N24" s="153">
        <f t="shared" si="12"/>
        <v>0</v>
      </c>
    </row>
    <row r="25" spans="1:14" ht="15.75">
      <c r="A25" s="2">
        <v>15</v>
      </c>
      <c r="B25" s="15" t="s">
        <v>15</v>
      </c>
      <c r="C25" s="38"/>
      <c r="D25" s="38"/>
      <c r="E25" s="154">
        <f t="shared" si="8"/>
        <v>0</v>
      </c>
      <c r="F25" s="38"/>
      <c r="G25" s="38"/>
      <c r="H25" s="154">
        <f t="shared" si="9"/>
        <v>0</v>
      </c>
      <c r="I25" s="38"/>
      <c r="J25" s="38"/>
      <c r="K25" s="154">
        <f t="shared" si="10"/>
        <v>0</v>
      </c>
      <c r="L25" s="34">
        <f t="shared" si="26"/>
        <v>0</v>
      </c>
      <c r="M25" s="38">
        <f t="shared" si="26"/>
        <v>0</v>
      </c>
      <c r="N25" s="154">
        <f t="shared" si="12"/>
        <v>0</v>
      </c>
    </row>
    <row r="26" spans="1:14" ht="15.75">
      <c r="A26" s="6">
        <v>16</v>
      </c>
      <c r="B26" s="13" t="s">
        <v>16</v>
      </c>
      <c r="C26" s="38"/>
      <c r="D26" s="38"/>
      <c r="E26" s="154">
        <f t="shared" si="8"/>
        <v>0</v>
      </c>
      <c r="F26" s="38"/>
      <c r="G26" s="38"/>
      <c r="H26" s="154">
        <f t="shared" si="9"/>
        <v>0</v>
      </c>
      <c r="I26" s="38"/>
      <c r="J26" s="38"/>
      <c r="K26" s="154">
        <f t="shared" si="10"/>
        <v>0</v>
      </c>
      <c r="L26" s="34">
        <f t="shared" si="26"/>
        <v>0</v>
      </c>
      <c r="M26" s="38">
        <f t="shared" si="26"/>
        <v>0</v>
      </c>
      <c r="N26" s="154">
        <f t="shared" si="12"/>
        <v>0</v>
      </c>
    </row>
    <row r="27" spans="1:14" ht="15.75">
      <c r="A27" s="2">
        <v>17</v>
      </c>
      <c r="B27" s="28" t="s">
        <v>17</v>
      </c>
      <c r="C27" s="38">
        <f>835+5661</f>
        <v>6496</v>
      </c>
      <c r="D27" s="38">
        <f>433+171</f>
        <v>604</v>
      </c>
      <c r="E27" s="154">
        <f t="shared" si="8"/>
        <v>7100</v>
      </c>
      <c r="F27" s="38">
        <v>180</v>
      </c>
      <c r="G27" s="38">
        <f>92-140</f>
        <v>-48</v>
      </c>
      <c r="H27" s="154">
        <f t="shared" si="9"/>
        <v>132</v>
      </c>
      <c r="I27" s="38">
        <v>440</v>
      </c>
      <c r="J27" s="38">
        <v>-381</v>
      </c>
      <c r="K27" s="154">
        <f t="shared" si="10"/>
        <v>59</v>
      </c>
      <c r="L27" s="34">
        <f t="shared" si="26"/>
        <v>7116</v>
      </c>
      <c r="M27" s="38">
        <f t="shared" si="26"/>
        <v>175</v>
      </c>
      <c r="N27" s="154">
        <f t="shared" si="12"/>
        <v>7291</v>
      </c>
    </row>
    <row r="28" spans="1:14" ht="16.5" thickBot="1">
      <c r="A28" s="8">
        <v>18</v>
      </c>
      <c r="B28" s="29" t="s">
        <v>18</v>
      </c>
      <c r="C28" s="39"/>
      <c r="D28" s="39"/>
      <c r="E28" s="157">
        <f t="shared" si="8"/>
        <v>0</v>
      </c>
      <c r="F28" s="39"/>
      <c r="G28" s="39"/>
      <c r="H28" s="157">
        <f t="shared" si="9"/>
        <v>0</v>
      </c>
      <c r="I28" s="39"/>
      <c r="J28" s="39"/>
      <c r="K28" s="157">
        <f t="shared" si="10"/>
        <v>0</v>
      </c>
      <c r="L28" s="35">
        <f t="shared" si="26"/>
        <v>0</v>
      </c>
      <c r="M28" s="39">
        <f t="shared" si="26"/>
        <v>0</v>
      </c>
      <c r="N28" s="157">
        <f t="shared" si="12"/>
        <v>0</v>
      </c>
    </row>
    <row r="29" spans="1:14" ht="15.75">
      <c r="A29" s="6">
        <v>19</v>
      </c>
      <c r="B29" s="13" t="s">
        <v>19</v>
      </c>
      <c r="C29" s="37">
        <f>1498-832+233</f>
        <v>899</v>
      </c>
      <c r="D29" s="37">
        <v>-170</v>
      </c>
      <c r="E29" s="153">
        <f t="shared" si="8"/>
        <v>729</v>
      </c>
      <c r="F29" s="37"/>
      <c r="G29" s="37"/>
      <c r="H29" s="153">
        <f t="shared" si="9"/>
        <v>0</v>
      </c>
      <c r="I29" s="37">
        <f>187+744</f>
        <v>931</v>
      </c>
      <c r="J29" s="37">
        <v>389</v>
      </c>
      <c r="K29" s="153">
        <f t="shared" si="10"/>
        <v>1320</v>
      </c>
      <c r="L29" s="33">
        <f t="shared" si="26"/>
        <v>1830</v>
      </c>
      <c r="M29" s="37">
        <f t="shared" si="26"/>
        <v>219</v>
      </c>
      <c r="N29" s="153">
        <f t="shared" si="12"/>
        <v>2049</v>
      </c>
    </row>
    <row r="30" spans="1:14" ht="16.5" thickBot="1">
      <c r="A30" s="3">
        <v>20</v>
      </c>
      <c r="B30" s="24" t="s">
        <v>20</v>
      </c>
      <c r="C30" s="39"/>
      <c r="D30" s="39"/>
      <c r="E30" s="157">
        <f t="shared" si="8"/>
        <v>0</v>
      </c>
      <c r="F30" s="39"/>
      <c r="G30" s="39"/>
      <c r="H30" s="157">
        <f t="shared" si="9"/>
        <v>0</v>
      </c>
      <c r="I30" s="39"/>
      <c r="J30" s="39"/>
      <c r="K30" s="157">
        <f t="shared" si="10"/>
        <v>0</v>
      </c>
      <c r="L30" s="35">
        <f t="shared" si="26"/>
        <v>0</v>
      </c>
      <c r="M30" s="39">
        <f t="shared" si="26"/>
        <v>0</v>
      </c>
      <c r="N30" s="157">
        <f t="shared" si="12"/>
        <v>0</v>
      </c>
    </row>
    <row r="31" spans="1:14" ht="16.5" thickBot="1">
      <c r="A31" s="5">
        <v>21</v>
      </c>
      <c r="B31" s="20" t="s">
        <v>21</v>
      </c>
      <c r="C31" s="41">
        <f t="shared" ref="C31" si="27">SUM(C29:C30)</f>
        <v>899</v>
      </c>
      <c r="D31" s="41">
        <f t="shared" ref="D31:M31" si="28">SUM(D29:D30)</f>
        <v>-170</v>
      </c>
      <c r="E31" s="156">
        <f t="shared" si="8"/>
        <v>729</v>
      </c>
      <c r="F31" s="41">
        <f t="shared" ref="F31" si="29">SUM(F29:F30)</f>
        <v>0</v>
      </c>
      <c r="G31" s="41">
        <f t="shared" si="28"/>
        <v>0</v>
      </c>
      <c r="H31" s="156">
        <f t="shared" si="9"/>
        <v>0</v>
      </c>
      <c r="I31" s="41">
        <f t="shared" ref="I31" si="30">SUM(I29:I30)</f>
        <v>931</v>
      </c>
      <c r="J31" s="41">
        <f t="shared" si="28"/>
        <v>389</v>
      </c>
      <c r="K31" s="156">
        <f t="shared" si="10"/>
        <v>1320</v>
      </c>
      <c r="L31" s="40">
        <f t="shared" si="28"/>
        <v>1830</v>
      </c>
      <c r="M31" s="41">
        <f t="shared" si="28"/>
        <v>219</v>
      </c>
      <c r="N31" s="156">
        <f t="shared" si="12"/>
        <v>2049</v>
      </c>
    </row>
    <row r="32" spans="1:14" ht="15.75">
      <c r="A32" s="3">
        <v>22</v>
      </c>
      <c r="B32" s="24" t="s">
        <v>22</v>
      </c>
      <c r="C32" s="37"/>
      <c r="D32" s="37"/>
      <c r="E32" s="153">
        <f t="shared" si="8"/>
        <v>0</v>
      </c>
      <c r="F32" s="37"/>
      <c r="G32" s="37"/>
      <c r="H32" s="153">
        <f t="shared" si="9"/>
        <v>0</v>
      </c>
      <c r="I32" s="37"/>
      <c r="J32" s="37"/>
      <c r="K32" s="153">
        <f t="shared" si="10"/>
        <v>0</v>
      </c>
      <c r="L32" s="33">
        <f t="shared" ref="L32:M35" si="31">C32+F32+I32</f>
        <v>0</v>
      </c>
      <c r="M32" s="37">
        <f t="shared" si="31"/>
        <v>0</v>
      </c>
      <c r="N32" s="153">
        <f t="shared" si="12"/>
        <v>0</v>
      </c>
    </row>
    <row r="33" spans="1:14" ht="15.75">
      <c r="A33" s="2">
        <v>23</v>
      </c>
      <c r="B33" s="15" t="s">
        <v>23</v>
      </c>
      <c r="C33" s="38"/>
      <c r="D33" s="38"/>
      <c r="E33" s="154">
        <f t="shared" si="8"/>
        <v>0</v>
      </c>
      <c r="F33" s="38"/>
      <c r="G33" s="38"/>
      <c r="H33" s="154">
        <f t="shared" si="9"/>
        <v>0</v>
      </c>
      <c r="I33" s="38"/>
      <c r="J33" s="38"/>
      <c r="K33" s="154">
        <f t="shared" si="10"/>
        <v>0</v>
      </c>
      <c r="L33" s="34">
        <f t="shared" si="31"/>
        <v>0</v>
      </c>
      <c r="M33" s="38">
        <f t="shared" si="31"/>
        <v>0</v>
      </c>
      <c r="N33" s="154">
        <f t="shared" si="12"/>
        <v>0</v>
      </c>
    </row>
    <row r="34" spans="1:14" ht="15.75">
      <c r="A34" s="6">
        <v>24</v>
      </c>
      <c r="B34" s="13" t="s">
        <v>24</v>
      </c>
      <c r="C34" s="38"/>
      <c r="D34" s="38"/>
      <c r="E34" s="154">
        <f t="shared" si="8"/>
        <v>0</v>
      </c>
      <c r="F34" s="38"/>
      <c r="G34" s="38"/>
      <c r="H34" s="154">
        <f t="shared" si="9"/>
        <v>0</v>
      </c>
      <c r="I34" s="38"/>
      <c r="J34" s="38"/>
      <c r="K34" s="154">
        <f t="shared" si="10"/>
        <v>0</v>
      </c>
      <c r="L34" s="34">
        <f t="shared" si="31"/>
        <v>0</v>
      </c>
      <c r="M34" s="38">
        <f t="shared" si="31"/>
        <v>0</v>
      </c>
      <c r="N34" s="154">
        <f t="shared" si="12"/>
        <v>0</v>
      </c>
    </row>
    <row r="35" spans="1:14" ht="16.5" thickBot="1">
      <c r="A35" s="2">
        <v>25</v>
      </c>
      <c r="B35" s="15" t="s">
        <v>25</v>
      </c>
      <c r="C35" s="39"/>
      <c r="D35" s="39"/>
      <c r="E35" s="157">
        <f t="shared" si="8"/>
        <v>0</v>
      </c>
      <c r="F35" s="39"/>
      <c r="G35" s="39"/>
      <c r="H35" s="157">
        <f t="shared" si="9"/>
        <v>0</v>
      </c>
      <c r="I35" s="39"/>
      <c r="J35" s="39"/>
      <c r="K35" s="157">
        <f t="shared" si="10"/>
        <v>0</v>
      </c>
      <c r="L35" s="35">
        <f t="shared" si="31"/>
        <v>0</v>
      </c>
      <c r="M35" s="39">
        <f t="shared" si="31"/>
        <v>0</v>
      </c>
      <c r="N35" s="157">
        <f t="shared" si="12"/>
        <v>0</v>
      </c>
    </row>
    <row r="36" spans="1:14" ht="16.5" thickBot="1">
      <c r="A36" s="5">
        <v>26</v>
      </c>
      <c r="B36" s="20" t="s">
        <v>45</v>
      </c>
      <c r="C36" s="41">
        <f t="shared" ref="C36" si="32">SUM(C17,C23,C24:C28,C31,C32:C35)</f>
        <v>328982</v>
      </c>
      <c r="D36" s="41">
        <f t="shared" ref="D36:M36" si="33">SUM(D17,D23,D24:D28,D31,D32:D35)</f>
        <v>8327</v>
      </c>
      <c r="E36" s="156">
        <f t="shared" si="8"/>
        <v>337309</v>
      </c>
      <c r="F36" s="41">
        <f t="shared" ref="F36" si="34">SUM(F17,F23,F24:F28,F31,F32:F35)</f>
        <v>86449</v>
      </c>
      <c r="G36" s="41">
        <f t="shared" si="33"/>
        <v>141</v>
      </c>
      <c r="H36" s="156">
        <f t="shared" si="9"/>
        <v>86590</v>
      </c>
      <c r="I36" s="41">
        <f t="shared" ref="I36" si="35">SUM(I17,I23,I24:I28,I31,I32:I35)</f>
        <v>120750</v>
      </c>
      <c r="J36" s="41">
        <f t="shared" si="33"/>
        <v>3929</v>
      </c>
      <c r="K36" s="156">
        <f t="shared" si="10"/>
        <v>124679</v>
      </c>
      <c r="L36" s="40">
        <f t="shared" si="33"/>
        <v>536181</v>
      </c>
      <c r="M36" s="41">
        <f t="shared" si="33"/>
        <v>12397</v>
      </c>
      <c r="N36" s="156">
        <f t="shared" si="12"/>
        <v>548578</v>
      </c>
    </row>
    <row r="37" spans="1:14" ht="15.75">
      <c r="A37" s="7">
        <v>27</v>
      </c>
      <c r="B37" s="30" t="s">
        <v>46</v>
      </c>
      <c r="C37" s="37"/>
      <c r="D37" s="37"/>
      <c r="E37" s="153">
        <f t="shared" si="8"/>
        <v>0</v>
      </c>
      <c r="F37" s="37"/>
      <c r="G37" s="37"/>
      <c r="H37" s="153">
        <f t="shared" si="9"/>
        <v>0</v>
      </c>
      <c r="I37" s="37"/>
      <c r="J37" s="37"/>
      <c r="K37" s="153">
        <f t="shared" si="10"/>
        <v>0</v>
      </c>
      <c r="L37" s="33">
        <f t="shared" ref="L37:M39" si="36">C37+F37+I37</f>
        <v>0</v>
      </c>
      <c r="M37" s="37">
        <f t="shared" si="36"/>
        <v>0</v>
      </c>
      <c r="N37" s="153">
        <f t="shared" si="12"/>
        <v>0</v>
      </c>
    </row>
    <row r="38" spans="1:14" ht="15.75">
      <c r="A38" s="6">
        <v>28</v>
      </c>
      <c r="B38" s="13" t="s">
        <v>26</v>
      </c>
      <c r="C38" s="38"/>
      <c r="D38" s="38"/>
      <c r="E38" s="154">
        <f t="shared" si="8"/>
        <v>0</v>
      </c>
      <c r="F38" s="38"/>
      <c r="G38" s="38"/>
      <c r="H38" s="154">
        <f t="shared" si="9"/>
        <v>0</v>
      </c>
      <c r="I38" s="38"/>
      <c r="J38" s="38"/>
      <c r="K38" s="154">
        <f t="shared" si="10"/>
        <v>0</v>
      </c>
      <c r="L38" s="34">
        <f t="shared" si="36"/>
        <v>0</v>
      </c>
      <c r="M38" s="38">
        <f t="shared" si="36"/>
        <v>0</v>
      </c>
      <c r="N38" s="154">
        <f t="shared" si="12"/>
        <v>0</v>
      </c>
    </row>
    <row r="39" spans="1:14" ht="16.5" thickBot="1">
      <c r="A39" s="3">
        <v>29</v>
      </c>
      <c r="B39" s="24" t="s">
        <v>27</v>
      </c>
      <c r="C39" s="39"/>
      <c r="D39" s="39"/>
      <c r="E39" s="157">
        <f t="shared" si="8"/>
        <v>0</v>
      </c>
      <c r="F39" s="39"/>
      <c r="G39" s="39"/>
      <c r="H39" s="157">
        <f t="shared" si="9"/>
        <v>0</v>
      </c>
      <c r="I39" s="39"/>
      <c r="J39" s="39"/>
      <c r="K39" s="157">
        <f t="shared" si="10"/>
        <v>0</v>
      </c>
      <c r="L39" s="35">
        <f t="shared" si="36"/>
        <v>0</v>
      </c>
      <c r="M39" s="39">
        <f t="shared" si="36"/>
        <v>0</v>
      </c>
      <c r="N39" s="157">
        <f t="shared" si="12"/>
        <v>0</v>
      </c>
    </row>
    <row r="40" spans="1:14" ht="16.5" thickBot="1">
      <c r="A40" s="5">
        <v>30</v>
      </c>
      <c r="B40" s="20" t="s">
        <v>47</v>
      </c>
      <c r="C40" s="41">
        <f t="shared" ref="C40" si="37">SUM(C37:C39)</f>
        <v>0</v>
      </c>
      <c r="D40" s="41">
        <f t="shared" ref="D40:M40" si="38">SUM(D37:D39)</f>
        <v>0</v>
      </c>
      <c r="E40" s="156">
        <f t="shared" si="8"/>
        <v>0</v>
      </c>
      <c r="F40" s="41">
        <f t="shared" ref="F40" si="39">SUM(F37:F39)</f>
        <v>0</v>
      </c>
      <c r="G40" s="41">
        <f t="shared" si="38"/>
        <v>0</v>
      </c>
      <c r="H40" s="156">
        <f t="shared" si="9"/>
        <v>0</v>
      </c>
      <c r="I40" s="41">
        <f t="shared" ref="I40" si="40">SUM(I37:I39)</f>
        <v>0</v>
      </c>
      <c r="J40" s="41">
        <f t="shared" si="38"/>
        <v>0</v>
      </c>
      <c r="K40" s="156">
        <f t="shared" si="10"/>
        <v>0</v>
      </c>
      <c r="L40" s="40">
        <f t="shared" si="38"/>
        <v>0</v>
      </c>
      <c r="M40" s="41">
        <f t="shared" si="38"/>
        <v>0</v>
      </c>
      <c r="N40" s="156">
        <f t="shared" si="12"/>
        <v>0</v>
      </c>
    </row>
    <row r="41" spans="1:14" ht="16.5" thickBot="1">
      <c r="A41" s="225" t="s">
        <v>48</v>
      </c>
      <c r="B41" s="226"/>
      <c r="C41" s="45">
        <f t="shared" ref="C41" si="41">SUM(C36,C40)</f>
        <v>328982</v>
      </c>
      <c r="D41" s="45">
        <f t="shared" ref="D41:M41" si="42">SUM(D36,D40)</f>
        <v>8327</v>
      </c>
      <c r="E41" s="158">
        <f t="shared" si="8"/>
        <v>337309</v>
      </c>
      <c r="F41" s="45">
        <f t="shared" ref="F41" si="43">SUM(F36,F40)</f>
        <v>86449</v>
      </c>
      <c r="G41" s="45">
        <f t="shared" si="42"/>
        <v>141</v>
      </c>
      <c r="H41" s="158">
        <f t="shared" si="9"/>
        <v>86590</v>
      </c>
      <c r="I41" s="45">
        <f t="shared" ref="I41" si="44">SUM(I36,I40)</f>
        <v>120750</v>
      </c>
      <c r="J41" s="45">
        <f t="shared" si="42"/>
        <v>3929</v>
      </c>
      <c r="K41" s="158">
        <f t="shared" si="10"/>
        <v>124679</v>
      </c>
      <c r="L41" s="44">
        <f t="shared" si="42"/>
        <v>536181</v>
      </c>
      <c r="M41" s="45">
        <f t="shared" si="42"/>
        <v>12397</v>
      </c>
      <c r="N41" s="158">
        <f t="shared" si="12"/>
        <v>548578</v>
      </c>
    </row>
    <row r="42" spans="1:14" ht="29.25" customHeight="1" thickTop="1" thickBot="1">
      <c r="A42" s="227" t="s">
        <v>28</v>
      </c>
      <c r="B42" s="228"/>
      <c r="C42" s="47"/>
      <c r="D42" s="47"/>
      <c r="E42" s="159"/>
      <c r="F42" s="47"/>
      <c r="G42" s="47"/>
      <c r="H42" s="159"/>
      <c r="I42" s="47"/>
      <c r="J42" s="47"/>
      <c r="K42" s="159"/>
      <c r="L42" s="46"/>
      <c r="M42" s="47"/>
      <c r="N42" s="159"/>
    </row>
    <row r="43" spans="1:14" ht="31.5">
      <c r="A43" s="6">
        <v>31</v>
      </c>
      <c r="B43" s="12" t="s">
        <v>29</v>
      </c>
      <c r="C43" s="37">
        <v>11600</v>
      </c>
      <c r="D43" s="37">
        <f>5285+1293</f>
        <v>6578</v>
      </c>
      <c r="E43" s="153">
        <f t="shared" si="8"/>
        <v>18178</v>
      </c>
      <c r="F43" s="37">
        <f>435+150</f>
        <v>585</v>
      </c>
      <c r="G43" s="37">
        <v>49</v>
      </c>
      <c r="H43" s="153">
        <f t="shared" si="9"/>
        <v>634</v>
      </c>
      <c r="I43" s="37">
        <f>2500+180</f>
        <v>2680</v>
      </c>
      <c r="J43" s="37">
        <v>3097</v>
      </c>
      <c r="K43" s="153">
        <f t="shared" si="10"/>
        <v>5777</v>
      </c>
      <c r="L43" s="33">
        <f t="shared" ref="L43:M53" si="45">C43+F43+I43</f>
        <v>14865</v>
      </c>
      <c r="M43" s="37">
        <f t="shared" si="45"/>
        <v>9724</v>
      </c>
      <c r="N43" s="153">
        <f t="shared" si="12"/>
        <v>24589</v>
      </c>
    </row>
    <row r="44" spans="1:14" ht="15.75">
      <c r="A44" s="6">
        <v>32</v>
      </c>
      <c r="B44" s="13" t="s">
        <v>30</v>
      </c>
      <c r="C44" s="38"/>
      <c r="D44" s="38"/>
      <c r="E44" s="154">
        <f t="shared" si="8"/>
        <v>0</v>
      </c>
      <c r="F44" s="38"/>
      <c r="G44" s="38"/>
      <c r="H44" s="154">
        <f t="shared" si="9"/>
        <v>0</v>
      </c>
      <c r="I44" s="38"/>
      <c r="J44" s="38"/>
      <c r="K44" s="154">
        <f t="shared" si="10"/>
        <v>0</v>
      </c>
      <c r="L44" s="34">
        <f t="shared" si="45"/>
        <v>0</v>
      </c>
      <c r="M44" s="38">
        <f t="shared" si="45"/>
        <v>0</v>
      </c>
      <c r="N44" s="154">
        <f t="shared" si="12"/>
        <v>0</v>
      </c>
    </row>
    <row r="45" spans="1:14" ht="31.5">
      <c r="A45" s="6">
        <v>33</v>
      </c>
      <c r="B45" s="14" t="s">
        <v>31</v>
      </c>
      <c r="C45" s="38"/>
      <c r="D45" s="38"/>
      <c r="E45" s="154">
        <f t="shared" si="8"/>
        <v>0</v>
      </c>
      <c r="F45" s="38"/>
      <c r="G45" s="38"/>
      <c r="H45" s="154">
        <f t="shared" si="9"/>
        <v>0</v>
      </c>
      <c r="I45" s="38"/>
      <c r="J45" s="38"/>
      <c r="K45" s="154">
        <f t="shared" si="10"/>
        <v>0</v>
      </c>
      <c r="L45" s="34">
        <f t="shared" si="45"/>
        <v>0</v>
      </c>
      <c r="M45" s="38">
        <f t="shared" si="45"/>
        <v>0</v>
      </c>
      <c r="N45" s="154">
        <f t="shared" si="12"/>
        <v>0</v>
      </c>
    </row>
    <row r="46" spans="1:14" ht="15.75">
      <c r="A46" s="6">
        <v>34</v>
      </c>
      <c r="B46" s="15" t="s">
        <v>32</v>
      </c>
      <c r="C46" s="38">
        <f>276476+18264+1549+13652</f>
        <v>309941</v>
      </c>
      <c r="D46" s="38">
        <f>433+711+605+170</f>
        <v>1919</v>
      </c>
      <c r="E46" s="154">
        <f t="shared" si="8"/>
        <v>311860</v>
      </c>
      <c r="F46" s="38">
        <f>65933+2543-82+11659</f>
        <v>80053</v>
      </c>
      <c r="G46" s="38">
        <v>92</v>
      </c>
      <c r="H46" s="154">
        <f t="shared" si="9"/>
        <v>80145</v>
      </c>
      <c r="I46" s="38">
        <f>111189+4394+253+1000</f>
        <v>116836</v>
      </c>
      <c r="J46" s="38">
        <f>832-389</f>
        <v>443</v>
      </c>
      <c r="K46" s="154">
        <f t="shared" si="10"/>
        <v>117279</v>
      </c>
      <c r="L46" s="34">
        <f t="shared" si="45"/>
        <v>506830</v>
      </c>
      <c r="M46" s="38">
        <f t="shared" si="45"/>
        <v>2454</v>
      </c>
      <c r="N46" s="154">
        <f t="shared" si="12"/>
        <v>509284</v>
      </c>
    </row>
    <row r="47" spans="1:14" ht="15.75">
      <c r="A47" s="6">
        <v>35</v>
      </c>
      <c r="B47" s="15" t="s">
        <v>33</v>
      </c>
      <c r="C47" s="38">
        <f>1498-832+233</f>
        <v>899</v>
      </c>
      <c r="D47" s="38">
        <v>-170</v>
      </c>
      <c r="E47" s="154">
        <f t="shared" si="8"/>
        <v>729</v>
      </c>
      <c r="F47" s="38"/>
      <c r="G47" s="38"/>
      <c r="H47" s="154">
        <f t="shared" si="9"/>
        <v>0</v>
      </c>
      <c r="I47" s="38">
        <f>187+744</f>
        <v>931</v>
      </c>
      <c r="J47" s="38">
        <v>389</v>
      </c>
      <c r="K47" s="154">
        <f t="shared" si="10"/>
        <v>1320</v>
      </c>
      <c r="L47" s="34">
        <f t="shared" si="45"/>
        <v>1830</v>
      </c>
      <c r="M47" s="38">
        <f t="shared" si="45"/>
        <v>219</v>
      </c>
      <c r="N47" s="154">
        <f t="shared" si="12"/>
        <v>2049</v>
      </c>
    </row>
    <row r="48" spans="1:14" ht="15.75">
      <c r="A48" s="6">
        <v>36</v>
      </c>
      <c r="B48" s="15" t="s">
        <v>34</v>
      </c>
      <c r="C48" s="38"/>
      <c r="D48" s="38"/>
      <c r="E48" s="154">
        <f t="shared" si="8"/>
        <v>0</v>
      </c>
      <c r="F48" s="38"/>
      <c r="G48" s="38"/>
      <c r="H48" s="154">
        <f t="shared" si="9"/>
        <v>0</v>
      </c>
      <c r="I48" s="38"/>
      <c r="J48" s="38"/>
      <c r="K48" s="154">
        <f t="shared" si="10"/>
        <v>0</v>
      </c>
      <c r="L48" s="34">
        <f t="shared" si="45"/>
        <v>0</v>
      </c>
      <c r="M48" s="38">
        <f t="shared" si="45"/>
        <v>0</v>
      </c>
      <c r="N48" s="154">
        <f t="shared" si="12"/>
        <v>0</v>
      </c>
    </row>
    <row r="49" spans="1:14" ht="15.75">
      <c r="A49" s="6">
        <v>37</v>
      </c>
      <c r="B49" s="15" t="s">
        <v>35</v>
      </c>
      <c r="C49" s="38">
        <f>35+97</f>
        <v>132</v>
      </c>
      <c r="D49" s="38"/>
      <c r="E49" s="154">
        <f t="shared" si="8"/>
        <v>132</v>
      </c>
      <c r="F49" s="38"/>
      <c r="G49" s="38"/>
      <c r="H49" s="154">
        <f t="shared" si="9"/>
        <v>0</v>
      </c>
      <c r="I49" s="38">
        <v>250</v>
      </c>
      <c r="J49" s="38"/>
      <c r="K49" s="154">
        <f t="shared" si="10"/>
        <v>250</v>
      </c>
      <c r="L49" s="34">
        <f t="shared" si="45"/>
        <v>382</v>
      </c>
      <c r="M49" s="38">
        <f t="shared" si="45"/>
        <v>0</v>
      </c>
      <c r="N49" s="154">
        <f t="shared" si="12"/>
        <v>382</v>
      </c>
    </row>
    <row r="50" spans="1:14" ht="15.75">
      <c r="A50" s="4">
        <v>38</v>
      </c>
      <c r="B50" s="16" t="s">
        <v>36</v>
      </c>
      <c r="C50" s="49"/>
      <c r="D50" s="49"/>
      <c r="E50" s="160">
        <f t="shared" si="8"/>
        <v>0</v>
      </c>
      <c r="F50" s="49"/>
      <c r="G50" s="49"/>
      <c r="H50" s="160">
        <f t="shared" si="9"/>
        <v>0</v>
      </c>
      <c r="I50" s="49"/>
      <c r="J50" s="49"/>
      <c r="K50" s="160">
        <f t="shared" si="10"/>
        <v>0</v>
      </c>
      <c r="L50" s="48">
        <f t="shared" si="45"/>
        <v>0</v>
      </c>
      <c r="M50" s="49">
        <f t="shared" si="45"/>
        <v>0</v>
      </c>
      <c r="N50" s="160">
        <f t="shared" si="12"/>
        <v>0</v>
      </c>
    </row>
    <row r="51" spans="1:14" ht="15.75">
      <c r="A51" s="6">
        <v>39</v>
      </c>
      <c r="B51" s="15" t="s">
        <v>37</v>
      </c>
      <c r="C51" s="38"/>
      <c r="D51" s="38"/>
      <c r="E51" s="154">
        <f t="shared" si="8"/>
        <v>0</v>
      </c>
      <c r="F51" s="38"/>
      <c r="G51" s="38"/>
      <c r="H51" s="154">
        <f t="shared" si="9"/>
        <v>0</v>
      </c>
      <c r="I51" s="38"/>
      <c r="J51" s="38"/>
      <c r="K51" s="154">
        <f t="shared" si="10"/>
        <v>0</v>
      </c>
      <c r="L51" s="34">
        <f t="shared" si="45"/>
        <v>0</v>
      </c>
      <c r="M51" s="38">
        <f t="shared" si="45"/>
        <v>0</v>
      </c>
      <c r="N51" s="154">
        <f t="shared" si="12"/>
        <v>0</v>
      </c>
    </row>
    <row r="52" spans="1:14" ht="15.75">
      <c r="A52" s="6">
        <v>40</v>
      </c>
      <c r="B52" s="17" t="s">
        <v>38</v>
      </c>
      <c r="C52" s="38"/>
      <c r="D52" s="38"/>
      <c r="E52" s="154">
        <f t="shared" si="8"/>
        <v>0</v>
      </c>
      <c r="F52" s="38"/>
      <c r="G52" s="38"/>
      <c r="H52" s="154">
        <f t="shared" si="9"/>
        <v>0</v>
      </c>
      <c r="I52" s="38"/>
      <c r="J52" s="38"/>
      <c r="K52" s="154">
        <f t="shared" si="10"/>
        <v>0</v>
      </c>
      <c r="L52" s="34">
        <f t="shared" si="45"/>
        <v>0</v>
      </c>
      <c r="M52" s="38">
        <f t="shared" si="45"/>
        <v>0</v>
      </c>
      <c r="N52" s="154">
        <f t="shared" si="12"/>
        <v>0</v>
      </c>
    </row>
    <row r="53" spans="1:14" ht="16.5" thickBot="1">
      <c r="A53" s="1">
        <v>41</v>
      </c>
      <c r="B53" s="18" t="s">
        <v>39</v>
      </c>
      <c r="C53" s="39"/>
      <c r="D53" s="39"/>
      <c r="E53" s="157">
        <f t="shared" si="8"/>
        <v>0</v>
      </c>
      <c r="F53" s="39"/>
      <c r="G53" s="39"/>
      <c r="H53" s="157">
        <f t="shared" si="9"/>
        <v>0</v>
      </c>
      <c r="I53" s="39"/>
      <c r="J53" s="39"/>
      <c r="K53" s="157">
        <f t="shared" si="10"/>
        <v>0</v>
      </c>
      <c r="L53" s="35">
        <f t="shared" si="45"/>
        <v>0</v>
      </c>
      <c r="M53" s="39">
        <f t="shared" si="45"/>
        <v>0</v>
      </c>
      <c r="N53" s="157">
        <f t="shared" si="12"/>
        <v>0</v>
      </c>
    </row>
    <row r="54" spans="1:14" ht="16.5" thickBot="1">
      <c r="A54" s="5">
        <v>42</v>
      </c>
      <c r="B54" s="19" t="s">
        <v>49</v>
      </c>
      <c r="C54" s="41">
        <f t="shared" ref="C54" si="46">SUM(C46:C49,C51:C53)</f>
        <v>310972</v>
      </c>
      <c r="D54" s="41">
        <f t="shared" ref="D54:M54" si="47">SUM(D46:D49,D51:D53)</f>
        <v>1749</v>
      </c>
      <c r="E54" s="156">
        <f t="shared" si="8"/>
        <v>312721</v>
      </c>
      <c r="F54" s="41">
        <f t="shared" ref="F54" si="48">SUM(F46:F49,F51:F53)</f>
        <v>80053</v>
      </c>
      <c r="G54" s="41">
        <f t="shared" si="47"/>
        <v>92</v>
      </c>
      <c r="H54" s="156">
        <f t="shared" si="9"/>
        <v>80145</v>
      </c>
      <c r="I54" s="41">
        <f t="shared" ref="I54" si="49">SUM(I46:I49,I51:I53)</f>
        <v>118017</v>
      </c>
      <c r="J54" s="41">
        <f t="shared" si="47"/>
        <v>832</v>
      </c>
      <c r="K54" s="156">
        <f t="shared" si="10"/>
        <v>118849</v>
      </c>
      <c r="L54" s="40">
        <f t="shared" si="47"/>
        <v>509042</v>
      </c>
      <c r="M54" s="41">
        <f t="shared" si="47"/>
        <v>2673</v>
      </c>
      <c r="N54" s="156">
        <f t="shared" si="12"/>
        <v>511715</v>
      </c>
    </row>
    <row r="55" spans="1:14" ht="16.5" thickBot="1">
      <c r="A55" s="6">
        <v>43</v>
      </c>
      <c r="B55" s="13" t="s">
        <v>40</v>
      </c>
      <c r="C55" s="37"/>
      <c r="D55" s="37"/>
      <c r="E55" s="153">
        <f t="shared" si="8"/>
        <v>0</v>
      </c>
      <c r="F55" s="37"/>
      <c r="G55" s="37"/>
      <c r="H55" s="153">
        <f t="shared" si="9"/>
        <v>0</v>
      </c>
      <c r="I55" s="37"/>
      <c r="J55" s="37"/>
      <c r="K55" s="153">
        <f t="shared" si="10"/>
        <v>0</v>
      </c>
      <c r="L55" s="33">
        <f t="shared" ref="L55:M55" si="50">C55+F55+I55</f>
        <v>0</v>
      </c>
      <c r="M55" s="37">
        <f t="shared" si="50"/>
        <v>0</v>
      </c>
      <c r="N55" s="153">
        <f t="shared" si="12"/>
        <v>0</v>
      </c>
    </row>
    <row r="56" spans="1:14" ht="16.5" thickBot="1">
      <c r="A56" s="5">
        <v>44</v>
      </c>
      <c r="B56" s="20" t="s">
        <v>76</v>
      </c>
      <c r="C56" s="41">
        <f t="shared" ref="C56" si="51">SUM(C42:C44,C53,C54:C55)</f>
        <v>322572</v>
      </c>
      <c r="D56" s="41">
        <f t="shared" ref="D56:M56" si="52">SUM(D42:D44,D53,D54:D55)</f>
        <v>8327</v>
      </c>
      <c r="E56" s="156">
        <f t="shared" si="8"/>
        <v>330899</v>
      </c>
      <c r="F56" s="41">
        <f t="shared" ref="F56" si="53">SUM(F42:F44,F53,F54:F55)</f>
        <v>80638</v>
      </c>
      <c r="G56" s="41">
        <f t="shared" si="52"/>
        <v>141</v>
      </c>
      <c r="H56" s="156">
        <f t="shared" si="9"/>
        <v>80779</v>
      </c>
      <c r="I56" s="41">
        <f t="shared" ref="I56" si="54">SUM(I42:I44,I53,I54:I55)</f>
        <v>120697</v>
      </c>
      <c r="J56" s="41">
        <f t="shared" si="52"/>
        <v>3929</v>
      </c>
      <c r="K56" s="156">
        <f t="shared" si="10"/>
        <v>124626</v>
      </c>
      <c r="L56" s="40">
        <f t="shared" si="52"/>
        <v>523907</v>
      </c>
      <c r="M56" s="41">
        <f t="shared" si="52"/>
        <v>12397</v>
      </c>
      <c r="N56" s="156">
        <f t="shared" si="12"/>
        <v>536304</v>
      </c>
    </row>
    <row r="57" spans="1:14" ht="16.5" thickBot="1">
      <c r="A57" s="212">
        <v>45</v>
      </c>
      <c r="B57" s="213" t="s">
        <v>113</v>
      </c>
      <c r="C57" s="41">
        <v>6410</v>
      </c>
      <c r="D57" s="41"/>
      <c r="E57" s="156">
        <f t="shared" si="8"/>
        <v>6410</v>
      </c>
      <c r="F57" s="41">
        <v>5811</v>
      </c>
      <c r="G57" s="41"/>
      <c r="H57" s="156">
        <f t="shared" si="9"/>
        <v>5811</v>
      </c>
      <c r="I57" s="41">
        <v>53</v>
      </c>
      <c r="J57" s="41"/>
      <c r="K57" s="156">
        <f t="shared" si="10"/>
        <v>53</v>
      </c>
      <c r="L57" s="40"/>
      <c r="M57" s="41"/>
      <c r="N57" s="156">
        <f t="shared" si="12"/>
        <v>12274</v>
      </c>
    </row>
    <row r="58" spans="1:14" ht="15.75">
      <c r="A58" s="6">
        <v>46</v>
      </c>
      <c r="B58" s="13" t="s">
        <v>44</v>
      </c>
      <c r="C58" s="37"/>
      <c r="D58" s="37"/>
      <c r="E58" s="153">
        <f t="shared" si="8"/>
        <v>0</v>
      </c>
      <c r="F58" s="37"/>
      <c r="G58" s="37"/>
      <c r="H58" s="153">
        <f t="shared" si="9"/>
        <v>0</v>
      </c>
      <c r="I58" s="37"/>
      <c r="J58" s="37"/>
      <c r="K58" s="153">
        <f t="shared" si="10"/>
        <v>0</v>
      </c>
      <c r="L58" s="33">
        <f t="shared" ref="L58:M60" si="55">C58+F58+I58</f>
        <v>0</v>
      </c>
      <c r="M58" s="37">
        <f t="shared" si="55"/>
        <v>0</v>
      </c>
      <c r="N58" s="153">
        <f t="shared" si="12"/>
        <v>0</v>
      </c>
    </row>
    <row r="59" spans="1:14" ht="15.75">
      <c r="A59" s="6">
        <v>47</v>
      </c>
      <c r="B59" s="15" t="s">
        <v>41</v>
      </c>
      <c r="C59" s="38"/>
      <c r="D59" s="38"/>
      <c r="E59" s="154">
        <f t="shared" si="8"/>
        <v>0</v>
      </c>
      <c r="F59" s="38"/>
      <c r="G59" s="38"/>
      <c r="H59" s="154">
        <f t="shared" si="9"/>
        <v>0</v>
      </c>
      <c r="I59" s="38"/>
      <c r="J59" s="38"/>
      <c r="K59" s="154">
        <f t="shared" si="10"/>
        <v>0</v>
      </c>
      <c r="L59" s="34">
        <f t="shared" si="55"/>
        <v>0</v>
      </c>
      <c r="M59" s="38"/>
      <c r="N59" s="154">
        <f t="shared" si="12"/>
        <v>0</v>
      </c>
    </row>
    <row r="60" spans="1:14" ht="16.5" thickBot="1">
      <c r="A60" s="6">
        <v>48</v>
      </c>
      <c r="B60" s="15" t="s">
        <v>42</v>
      </c>
      <c r="C60" s="39"/>
      <c r="D60" s="39"/>
      <c r="E60" s="157">
        <f t="shared" si="8"/>
        <v>0</v>
      </c>
      <c r="F60" s="39"/>
      <c r="G60" s="39"/>
      <c r="H60" s="157">
        <f t="shared" si="9"/>
        <v>0</v>
      </c>
      <c r="I60" s="39"/>
      <c r="J60" s="39"/>
      <c r="K60" s="157">
        <f t="shared" si="10"/>
        <v>0</v>
      </c>
      <c r="L60" s="35">
        <f t="shared" si="55"/>
        <v>0</v>
      </c>
      <c r="M60" s="39">
        <f t="shared" si="55"/>
        <v>0</v>
      </c>
      <c r="N60" s="157">
        <f t="shared" si="12"/>
        <v>0</v>
      </c>
    </row>
    <row r="61" spans="1:14" ht="16.5" thickBot="1">
      <c r="A61" s="5">
        <v>49</v>
      </c>
      <c r="B61" s="20" t="s">
        <v>50</v>
      </c>
      <c r="C61" s="41">
        <f t="shared" ref="C61" si="56">SUM(C58:C60)</f>
        <v>0</v>
      </c>
      <c r="D61" s="41">
        <f t="shared" ref="D61:M61" si="57">SUM(D58:D60)</f>
        <v>0</v>
      </c>
      <c r="E61" s="156">
        <f t="shared" si="8"/>
        <v>0</v>
      </c>
      <c r="F61" s="41">
        <f t="shared" ref="F61" si="58">SUM(F58:F60)</f>
        <v>0</v>
      </c>
      <c r="G61" s="41">
        <f t="shared" si="57"/>
        <v>0</v>
      </c>
      <c r="H61" s="156">
        <f t="shared" si="9"/>
        <v>0</v>
      </c>
      <c r="I61" s="41">
        <f t="shared" ref="I61" si="59">SUM(I58:I60)</f>
        <v>0</v>
      </c>
      <c r="J61" s="41">
        <f t="shared" si="57"/>
        <v>0</v>
      </c>
      <c r="K61" s="156">
        <f t="shared" si="10"/>
        <v>0</v>
      </c>
      <c r="L61" s="40">
        <f t="shared" si="57"/>
        <v>0</v>
      </c>
      <c r="M61" s="41">
        <f t="shared" si="57"/>
        <v>0</v>
      </c>
      <c r="N61" s="156">
        <f t="shared" si="12"/>
        <v>0</v>
      </c>
    </row>
    <row r="62" spans="1:14" ht="16.5" thickBot="1">
      <c r="A62" s="229" t="s">
        <v>77</v>
      </c>
      <c r="B62" s="230"/>
      <c r="C62" s="45">
        <f>C56+C57+C61</f>
        <v>328982</v>
      </c>
      <c r="D62" s="45">
        <f>D56+D57+D61</f>
        <v>8327</v>
      </c>
      <c r="E62" s="158">
        <f t="shared" si="8"/>
        <v>337309</v>
      </c>
      <c r="F62" s="45">
        <f>F56+F57+F61</f>
        <v>86449</v>
      </c>
      <c r="G62" s="45">
        <f>G56+G57+G61</f>
        <v>141</v>
      </c>
      <c r="H62" s="158">
        <f t="shared" si="9"/>
        <v>86590</v>
      </c>
      <c r="I62" s="45">
        <f>I56+I57+I61</f>
        <v>120750</v>
      </c>
      <c r="J62" s="45">
        <f>J56+J57+J61</f>
        <v>3929</v>
      </c>
      <c r="K62" s="158">
        <f t="shared" si="10"/>
        <v>124679</v>
      </c>
      <c r="L62" s="44">
        <f>L56+L57+L61</f>
        <v>523907</v>
      </c>
      <c r="M62" s="45">
        <f>M56+M57+M61</f>
        <v>12397</v>
      </c>
      <c r="N62" s="158">
        <f t="shared" si="12"/>
        <v>548578</v>
      </c>
    </row>
    <row r="63" spans="1:14" ht="17.25" thickTop="1" thickBot="1">
      <c r="A63" s="215"/>
      <c r="B63" s="216"/>
      <c r="C63" s="10"/>
      <c r="D63" s="10"/>
      <c r="E63" s="159"/>
      <c r="F63" s="10"/>
      <c r="G63" s="10"/>
      <c r="H63" s="159"/>
      <c r="I63" s="10"/>
      <c r="J63" s="10"/>
      <c r="K63" s="159"/>
      <c r="L63" s="50"/>
      <c r="M63" s="10"/>
      <c r="N63" s="159"/>
    </row>
    <row r="64" spans="1:14" ht="16.5" thickBot="1">
      <c r="A64" s="9">
        <v>50</v>
      </c>
      <c r="B64" s="11" t="s">
        <v>43</v>
      </c>
      <c r="C64" s="201">
        <f>97-8</f>
        <v>89</v>
      </c>
      <c r="D64" s="201"/>
      <c r="E64" s="202">
        <f t="shared" si="8"/>
        <v>89</v>
      </c>
      <c r="F64" s="201">
        <v>19.5</v>
      </c>
      <c r="G64" s="201"/>
      <c r="H64" s="202">
        <f t="shared" si="9"/>
        <v>19.5</v>
      </c>
      <c r="I64" s="201">
        <v>38</v>
      </c>
      <c r="J64" s="201"/>
      <c r="K64" s="202">
        <f t="shared" si="10"/>
        <v>38</v>
      </c>
      <c r="L64" s="200">
        <f>C64+F64+I64</f>
        <v>146.5</v>
      </c>
      <c r="M64" s="201">
        <f>D64+G64+J64</f>
        <v>0</v>
      </c>
      <c r="N64" s="202">
        <f t="shared" si="12"/>
        <v>146.5</v>
      </c>
    </row>
  </sheetData>
  <mergeCells count="31">
    <mergeCell ref="A62:B62"/>
    <mergeCell ref="A63:B63"/>
    <mergeCell ref="L8:L9"/>
    <mergeCell ref="M8:M9"/>
    <mergeCell ref="N8:N9"/>
    <mergeCell ref="A10:B10"/>
    <mergeCell ref="A41:B41"/>
    <mergeCell ref="A42:B42"/>
    <mergeCell ref="C8:C9"/>
    <mergeCell ref="D8:D9"/>
    <mergeCell ref="E8:E9"/>
    <mergeCell ref="F8:F9"/>
    <mergeCell ref="G8:G9"/>
    <mergeCell ref="I8:I9"/>
    <mergeCell ref="J8:J9"/>
    <mergeCell ref="K2:N2"/>
    <mergeCell ref="K3:N3"/>
    <mergeCell ref="J1:N1"/>
    <mergeCell ref="C1:E2"/>
    <mergeCell ref="A5:A9"/>
    <mergeCell ref="B5:B9"/>
    <mergeCell ref="C5:E5"/>
    <mergeCell ref="F5:H5"/>
    <mergeCell ref="H8:H9"/>
    <mergeCell ref="K8:K9"/>
    <mergeCell ref="L5:N5"/>
    <mergeCell ref="C6:E7"/>
    <mergeCell ref="F6:H7"/>
    <mergeCell ref="I6:K7"/>
    <mergeCell ref="L6:N7"/>
    <mergeCell ref="I5:K5"/>
  </mergeCells>
  <pageMargins left="0.56000000000000005" right="0.23622047244094491" top="0.15748031496062992" bottom="0.23622047244094491" header="0.15748031496062992" footer="0.19685039370078741"/>
  <pageSetup paperSize="9" scale="49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64"/>
  <sheetViews>
    <sheetView view="pageBreakPreview" zoomScale="85" zoomScaleNormal="80" zoomScaleSheetLayoutView="85" workbookViewId="0">
      <pane xSplit="2" ySplit="10" topLeftCell="J11" activePane="bottomRight" state="frozen"/>
      <selection pane="topRight" activeCell="C1" sqref="C1"/>
      <selection pane="bottomLeft" activeCell="A11" sqref="A11"/>
      <selection pane="bottomRight" activeCell="J2" sqref="J2"/>
    </sheetView>
  </sheetViews>
  <sheetFormatPr defaultRowHeight="15"/>
  <cols>
    <col min="1" max="1" width="11.7109375" bestFit="1" customWidth="1"/>
    <col min="2" max="2" width="93.140625" bestFit="1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51"/>
      <c r="B1" s="51"/>
      <c r="C1" s="248"/>
      <c r="D1" s="248"/>
      <c r="E1" s="248"/>
      <c r="F1" s="52"/>
      <c r="G1" s="52"/>
      <c r="H1" s="52"/>
      <c r="I1" s="52"/>
      <c r="J1" s="214" t="s">
        <v>123</v>
      </c>
      <c r="K1" s="214"/>
      <c r="L1" s="214"/>
      <c r="M1" s="214"/>
      <c r="N1" s="214"/>
    </row>
    <row r="2" spans="1:14" ht="18.75">
      <c r="A2" s="51"/>
      <c r="B2" s="51"/>
      <c r="C2" s="248"/>
      <c r="D2" s="248"/>
      <c r="E2" s="248"/>
      <c r="F2" s="52"/>
      <c r="G2" s="52"/>
      <c r="H2" s="52"/>
      <c r="I2" s="52"/>
      <c r="J2" s="52"/>
      <c r="K2" s="214" t="s">
        <v>111</v>
      </c>
      <c r="L2" s="214"/>
      <c r="M2" s="214"/>
      <c r="N2" s="214"/>
    </row>
    <row r="3" spans="1:14">
      <c r="K3" s="249" t="s">
        <v>112</v>
      </c>
      <c r="L3" s="249"/>
      <c r="M3" s="249"/>
      <c r="N3" s="249"/>
    </row>
    <row r="4" spans="1:14" ht="15.75" thickBot="1"/>
    <row r="5" spans="1:14" ht="16.5" thickBot="1">
      <c r="A5" s="217" t="s">
        <v>0</v>
      </c>
      <c r="B5" s="220" t="s">
        <v>1</v>
      </c>
      <c r="C5" s="241">
        <v>2104</v>
      </c>
      <c r="D5" s="242"/>
      <c r="E5" s="243"/>
      <c r="F5" s="244" t="s">
        <v>71</v>
      </c>
      <c r="G5" s="245"/>
      <c r="H5" s="246"/>
      <c r="I5" s="244" t="s">
        <v>71</v>
      </c>
      <c r="J5" s="245"/>
      <c r="K5" s="246"/>
      <c r="L5" s="241">
        <v>2104</v>
      </c>
      <c r="M5" s="242"/>
      <c r="N5" s="243"/>
    </row>
    <row r="6" spans="1:14" ht="15" customHeight="1">
      <c r="A6" s="218"/>
      <c r="B6" s="221"/>
      <c r="C6" s="233" t="s">
        <v>54</v>
      </c>
      <c r="D6" s="234"/>
      <c r="E6" s="231"/>
      <c r="F6" s="233" t="s">
        <v>69</v>
      </c>
      <c r="G6" s="234"/>
      <c r="H6" s="234"/>
      <c r="I6" s="233" t="s">
        <v>114</v>
      </c>
      <c r="J6" s="234"/>
      <c r="K6" s="231"/>
      <c r="L6" s="233" t="s">
        <v>70</v>
      </c>
      <c r="M6" s="234"/>
      <c r="N6" s="231"/>
    </row>
    <row r="7" spans="1:14" ht="51.75" customHeight="1" thickBot="1">
      <c r="A7" s="218"/>
      <c r="B7" s="221"/>
      <c r="C7" s="235"/>
      <c r="D7" s="236"/>
      <c r="E7" s="232"/>
      <c r="F7" s="235"/>
      <c r="G7" s="236"/>
      <c r="H7" s="236"/>
      <c r="I7" s="235"/>
      <c r="J7" s="236"/>
      <c r="K7" s="232"/>
      <c r="L7" s="235"/>
      <c r="M7" s="236"/>
      <c r="N7" s="232"/>
    </row>
    <row r="8" spans="1:14" ht="15" customHeight="1">
      <c r="A8" s="218"/>
      <c r="B8" s="221"/>
      <c r="C8" s="237" t="s">
        <v>115</v>
      </c>
      <c r="D8" s="239" t="s">
        <v>109</v>
      </c>
      <c r="E8" s="231" t="s">
        <v>110</v>
      </c>
      <c r="F8" s="237" t="s">
        <v>115</v>
      </c>
      <c r="G8" s="239" t="s">
        <v>109</v>
      </c>
      <c r="H8" s="231" t="s">
        <v>110</v>
      </c>
      <c r="I8" s="237" t="s">
        <v>115</v>
      </c>
      <c r="J8" s="239" t="s">
        <v>109</v>
      </c>
      <c r="K8" s="231" t="s">
        <v>110</v>
      </c>
      <c r="L8" s="237" t="s">
        <v>115</v>
      </c>
      <c r="M8" s="239" t="s">
        <v>109</v>
      </c>
      <c r="N8" s="231" t="s">
        <v>110</v>
      </c>
    </row>
    <row r="9" spans="1:14" ht="44.25" customHeight="1" thickBot="1">
      <c r="A9" s="219"/>
      <c r="B9" s="222"/>
      <c r="C9" s="238"/>
      <c r="D9" s="240"/>
      <c r="E9" s="232"/>
      <c r="F9" s="238"/>
      <c r="G9" s="240"/>
      <c r="H9" s="232"/>
      <c r="I9" s="238"/>
      <c r="J9" s="240"/>
      <c r="K9" s="232"/>
      <c r="L9" s="238"/>
      <c r="M9" s="240"/>
      <c r="N9" s="232"/>
    </row>
    <row r="10" spans="1:14" ht="16.5" thickBot="1">
      <c r="A10" s="223" t="s">
        <v>2</v>
      </c>
      <c r="B10" s="224"/>
      <c r="C10" s="32">
        <v>37</v>
      </c>
      <c r="D10" s="36">
        <f t="shared" ref="D10:F10" si="0">+C10+1</f>
        <v>38</v>
      </c>
      <c r="E10" s="31">
        <f t="shared" si="0"/>
        <v>39</v>
      </c>
      <c r="F10" s="31">
        <f t="shared" si="0"/>
        <v>40</v>
      </c>
      <c r="G10" s="36">
        <f t="shared" ref="G10" si="1">+F10+1</f>
        <v>41</v>
      </c>
      <c r="H10" s="31">
        <f t="shared" ref="H10" si="2">+G10+1</f>
        <v>42</v>
      </c>
      <c r="I10" s="32">
        <f t="shared" ref="I10" si="3">+H10+1</f>
        <v>43</v>
      </c>
      <c r="J10" s="36">
        <f t="shared" ref="J10" si="4">+I10+1</f>
        <v>44</v>
      </c>
      <c r="K10" s="31">
        <f t="shared" ref="K10" si="5">+J10+1</f>
        <v>45</v>
      </c>
      <c r="L10" s="32">
        <f t="shared" ref="L10" si="6">+K10+1</f>
        <v>46</v>
      </c>
      <c r="M10" s="36">
        <f t="shared" ref="M10" si="7">+L10+1</f>
        <v>47</v>
      </c>
      <c r="N10" s="31">
        <f t="shared" ref="N10" si="8">+M10+1</f>
        <v>48</v>
      </c>
    </row>
    <row r="11" spans="1:14" ht="15.75">
      <c r="A11" s="1">
        <v>1</v>
      </c>
      <c r="B11" s="21" t="s">
        <v>3</v>
      </c>
      <c r="C11" s="37">
        <f>118260+308+6033-62+778</f>
        <v>125317</v>
      </c>
      <c r="D11" s="37">
        <f>518+2324+358+2342+15</f>
        <v>5557</v>
      </c>
      <c r="E11" s="153">
        <f>SUM(C11:D11)</f>
        <v>130874</v>
      </c>
      <c r="F11" s="37">
        <f>51341+70+3311-61+138</f>
        <v>54799</v>
      </c>
      <c r="G11" s="37">
        <v>2473</v>
      </c>
      <c r="H11" s="153">
        <f>SUM(F11:G11)</f>
        <v>57272</v>
      </c>
      <c r="I11" s="37">
        <f>70991+2726+4883</f>
        <v>78600</v>
      </c>
      <c r="J11" s="37">
        <f>290</f>
        <v>290</v>
      </c>
      <c r="K11" s="153">
        <f>SUM(I11:J11)</f>
        <v>78890</v>
      </c>
      <c r="L11" s="33">
        <f>C11+F11+I11</f>
        <v>258716</v>
      </c>
      <c r="M11" s="37">
        <f>D11+G11+J11</f>
        <v>8320</v>
      </c>
      <c r="N11" s="154">
        <f>E11+H11+K11</f>
        <v>267036</v>
      </c>
    </row>
    <row r="12" spans="1:14" ht="15.75">
      <c r="A12" s="2">
        <v>2</v>
      </c>
      <c r="B12" s="15" t="s">
        <v>4</v>
      </c>
      <c r="C12" s="38">
        <f>31164-1+1628-16+205</f>
        <v>32980</v>
      </c>
      <c r="D12" s="38">
        <f>139+627+96+616+957</f>
        <v>2435</v>
      </c>
      <c r="E12" s="154">
        <f t="shared" ref="E12:E64" si="9">SUM(C12:D12)</f>
        <v>35415</v>
      </c>
      <c r="F12" s="38">
        <f>12589+893-15+34</f>
        <v>13501</v>
      </c>
      <c r="G12" s="38">
        <f>684+1219</f>
        <v>1903</v>
      </c>
      <c r="H12" s="154">
        <f t="shared" ref="H12:H64" si="10">SUM(F12:G12)</f>
        <v>15404</v>
      </c>
      <c r="I12" s="38">
        <f>19094+738+1303</f>
        <v>21135</v>
      </c>
      <c r="J12" s="38">
        <v>286</v>
      </c>
      <c r="K12" s="154">
        <f t="shared" ref="K12:K64" si="11">SUM(I12:J12)</f>
        <v>21421</v>
      </c>
      <c r="L12" s="53">
        <f t="shared" ref="L12:M14" si="12">C12+F12+I12</f>
        <v>67616</v>
      </c>
      <c r="M12" s="38">
        <f t="shared" si="12"/>
        <v>4624</v>
      </c>
      <c r="N12" s="154">
        <f t="shared" ref="N12:N64" si="13">E12+H12+K12</f>
        <v>72240</v>
      </c>
    </row>
    <row r="13" spans="1:14" ht="15.75">
      <c r="A13" s="2">
        <v>3</v>
      </c>
      <c r="B13" s="22" t="s">
        <v>5</v>
      </c>
      <c r="C13" s="38">
        <f>51737-167-5+385+160</f>
        <v>52110</v>
      </c>
      <c r="D13" s="38">
        <f>-547-50+521+630</f>
        <v>554</v>
      </c>
      <c r="E13" s="154">
        <f t="shared" si="9"/>
        <v>52664</v>
      </c>
      <c r="F13" s="38">
        <f>30055+743+900-5</f>
        <v>31693</v>
      </c>
      <c r="G13" s="38">
        <f>-90-1258-684</f>
        <v>-2032</v>
      </c>
      <c r="H13" s="154">
        <f t="shared" si="10"/>
        <v>29661</v>
      </c>
      <c r="I13" s="38">
        <f>5884+73+1435</f>
        <v>7392</v>
      </c>
      <c r="J13" s="38">
        <f>29-290</f>
        <v>-261</v>
      </c>
      <c r="K13" s="154">
        <f t="shared" si="11"/>
        <v>7131</v>
      </c>
      <c r="L13" s="53">
        <f t="shared" si="12"/>
        <v>91195</v>
      </c>
      <c r="M13" s="38">
        <f t="shared" si="12"/>
        <v>-1739</v>
      </c>
      <c r="N13" s="154">
        <f t="shared" si="13"/>
        <v>89456</v>
      </c>
    </row>
    <row r="14" spans="1:14" ht="15.75">
      <c r="A14" s="3">
        <v>4</v>
      </c>
      <c r="B14" s="23" t="s">
        <v>6</v>
      </c>
      <c r="C14" s="38">
        <v>261</v>
      </c>
      <c r="D14" s="38">
        <f>217+2134</f>
        <v>2351</v>
      </c>
      <c r="E14" s="154">
        <f t="shared" si="9"/>
        <v>2612</v>
      </c>
      <c r="F14" s="38">
        <v>353</v>
      </c>
      <c r="G14" s="38">
        <v>876</v>
      </c>
      <c r="H14" s="154">
        <f t="shared" si="10"/>
        <v>1229</v>
      </c>
      <c r="I14" s="38">
        <v>96</v>
      </c>
      <c r="J14" s="38">
        <v>1052</v>
      </c>
      <c r="K14" s="154">
        <f t="shared" si="11"/>
        <v>1148</v>
      </c>
      <c r="L14" s="54">
        <f t="shared" si="12"/>
        <v>710</v>
      </c>
      <c r="M14" s="38">
        <f t="shared" si="12"/>
        <v>4279</v>
      </c>
      <c r="N14" s="154">
        <f t="shared" si="13"/>
        <v>4989</v>
      </c>
    </row>
    <row r="15" spans="1:14" ht="15.75">
      <c r="A15" s="2">
        <v>5</v>
      </c>
      <c r="B15" s="24" t="s">
        <v>7</v>
      </c>
      <c r="C15" s="38">
        <f t="shared" ref="C15" si="14">SUM(C13:C14)</f>
        <v>52371</v>
      </c>
      <c r="D15" s="38">
        <f t="shared" ref="D15:M15" si="15">SUM(D13:D14)</f>
        <v>2905</v>
      </c>
      <c r="E15" s="154">
        <f t="shared" si="9"/>
        <v>55276</v>
      </c>
      <c r="F15" s="38">
        <f t="shared" ref="F15" si="16">SUM(F13:F14)</f>
        <v>32046</v>
      </c>
      <c r="G15" s="38">
        <f t="shared" si="15"/>
        <v>-1156</v>
      </c>
      <c r="H15" s="154">
        <f t="shared" si="10"/>
        <v>30890</v>
      </c>
      <c r="I15" s="38">
        <f t="shared" ref="I15" si="17">SUM(I13:I14)</f>
        <v>7488</v>
      </c>
      <c r="J15" s="38">
        <f t="shared" si="15"/>
        <v>791</v>
      </c>
      <c r="K15" s="154">
        <f t="shared" si="11"/>
        <v>8279</v>
      </c>
      <c r="L15" s="34">
        <f t="shared" si="15"/>
        <v>91905</v>
      </c>
      <c r="M15" s="38">
        <f t="shared" si="15"/>
        <v>2540</v>
      </c>
      <c r="N15" s="154">
        <f t="shared" si="13"/>
        <v>94445</v>
      </c>
    </row>
    <row r="16" spans="1:14" ht="16.5" thickBot="1">
      <c r="A16" s="4">
        <v>6</v>
      </c>
      <c r="B16" s="16" t="s">
        <v>8</v>
      </c>
      <c r="C16" s="43">
        <f>25339+576</f>
        <v>25915</v>
      </c>
      <c r="D16" s="43"/>
      <c r="E16" s="155">
        <f t="shared" si="9"/>
        <v>25915</v>
      </c>
      <c r="F16" s="43">
        <v>18495</v>
      </c>
      <c r="G16" s="43"/>
      <c r="H16" s="155">
        <f t="shared" si="10"/>
        <v>18495</v>
      </c>
      <c r="I16" s="43"/>
      <c r="J16" s="43"/>
      <c r="K16" s="155">
        <f t="shared" si="11"/>
        <v>0</v>
      </c>
      <c r="L16" s="42">
        <f>C16+F16+I16</f>
        <v>44410</v>
      </c>
      <c r="M16" s="43">
        <f>D16+G16+J16</f>
        <v>0</v>
      </c>
      <c r="N16" s="155">
        <f t="shared" si="13"/>
        <v>44410</v>
      </c>
    </row>
    <row r="17" spans="1:14" ht="16.5" thickBot="1">
      <c r="A17" s="5">
        <v>7</v>
      </c>
      <c r="B17" s="20" t="s">
        <v>9</v>
      </c>
      <c r="C17" s="41">
        <f t="shared" ref="C17" si="18">SUM(C11:C12,C15)</f>
        <v>210668</v>
      </c>
      <c r="D17" s="41">
        <f t="shared" ref="D17:M17" si="19">SUM(D11:D12,D15)</f>
        <v>10897</v>
      </c>
      <c r="E17" s="156">
        <f t="shared" si="9"/>
        <v>221565</v>
      </c>
      <c r="F17" s="41">
        <f t="shared" ref="F17" si="20">SUM(F11:F12,F15)</f>
        <v>100346</v>
      </c>
      <c r="G17" s="41">
        <f t="shared" si="19"/>
        <v>3220</v>
      </c>
      <c r="H17" s="156">
        <f t="shared" si="10"/>
        <v>103566</v>
      </c>
      <c r="I17" s="41">
        <f t="shared" ref="I17" si="21">SUM(I11:I12,I15)</f>
        <v>107223</v>
      </c>
      <c r="J17" s="41">
        <f t="shared" si="19"/>
        <v>1367</v>
      </c>
      <c r="K17" s="156">
        <f t="shared" si="11"/>
        <v>108590</v>
      </c>
      <c r="L17" s="40">
        <f t="shared" si="19"/>
        <v>418237</v>
      </c>
      <c r="M17" s="41">
        <f t="shared" si="19"/>
        <v>15484</v>
      </c>
      <c r="N17" s="156">
        <f t="shared" si="13"/>
        <v>433721</v>
      </c>
    </row>
    <row r="18" spans="1:14" ht="15.75">
      <c r="A18" s="6">
        <v>8</v>
      </c>
      <c r="B18" s="13" t="s">
        <v>10</v>
      </c>
      <c r="C18" s="37"/>
      <c r="D18" s="37"/>
      <c r="E18" s="153">
        <f t="shared" si="9"/>
        <v>0</v>
      </c>
      <c r="F18" s="37"/>
      <c r="G18" s="37"/>
      <c r="H18" s="153">
        <f t="shared" si="10"/>
        <v>0</v>
      </c>
      <c r="I18" s="37"/>
      <c r="J18" s="37"/>
      <c r="K18" s="153">
        <f t="shared" si="11"/>
        <v>0</v>
      </c>
      <c r="L18" s="33">
        <f t="shared" ref="L18:M22" si="22">C18+F18+I18</f>
        <v>0</v>
      </c>
      <c r="M18" s="37">
        <f t="shared" si="22"/>
        <v>0</v>
      </c>
      <c r="N18" s="153">
        <f t="shared" si="13"/>
        <v>0</v>
      </c>
    </row>
    <row r="19" spans="1:14" ht="15.75">
      <c r="A19" s="2">
        <v>9</v>
      </c>
      <c r="B19" s="15" t="s">
        <v>11</v>
      </c>
      <c r="C19" s="38"/>
      <c r="D19" s="38"/>
      <c r="E19" s="154">
        <f t="shared" si="9"/>
        <v>0</v>
      </c>
      <c r="F19" s="38"/>
      <c r="G19" s="38"/>
      <c r="H19" s="154">
        <f t="shared" si="10"/>
        <v>0</v>
      </c>
      <c r="I19" s="38"/>
      <c r="J19" s="38"/>
      <c r="K19" s="154">
        <f t="shared" si="11"/>
        <v>0</v>
      </c>
      <c r="L19" s="34">
        <f t="shared" si="22"/>
        <v>0</v>
      </c>
      <c r="M19" s="38">
        <f t="shared" si="22"/>
        <v>0</v>
      </c>
      <c r="N19" s="154">
        <f t="shared" si="13"/>
        <v>0</v>
      </c>
    </row>
    <row r="20" spans="1:14" ht="15.75">
      <c r="A20" s="6">
        <v>10</v>
      </c>
      <c r="B20" s="13" t="s">
        <v>12</v>
      </c>
      <c r="C20" s="38">
        <v>6957</v>
      </c>
      <c r="D20" s="38"/>
      <c r="E20" s="154">
        <f t="shared" si="9"/>
        <v>6957</v>
      </c>
      <c r="F20" s="38">
        <v>3016</v>
      </c>
      <c r="G20" s="38"/>
      <c r="H20" s="154">
        <f t="shared" si="10"/>
        <v>3016</v>
      </c>
      <c r="I20" s="38">
        <v>4611</v>
      </c>
      <c r="J20" s="38"/>
      <c r="K20" s="154">
        <f t="shared" si="11"/>
        <v>4611</v>
      </c>
      <c r="L20" s="34">
        <f t="shared" si="22"/>
        <v>14584</v>
      </c>
      <c r="M20" s="38">
        <f t="shared" si="22"/>
        <v>0</v>
      </c>
      <c r="N20" s="154">
        <f t="shared" si="13"/>
        <v>14584</v>
      </c>
    </row>
    <row r="21" spans="1:14" ht="15.75">
      <c r="A21" s="2">
        <v>11</v>
      </c>
      <c r="B21" s="25" t="s">
        <v>116</v>
      </c>
      <c r="C21" s="38"/>
      <c r="D21" s="38"/>
      <c r="E21" s="154">
        <f t="shared" si="9"/>
        <v>0</v>
      </c>
      <c r="F21" s="38"/>
      <c r="G21" s="38"/>
      <c r="H21" s="154">
        <f t="shared" si="10"/>
        <v>0</v>
      </c>
      <c r="I21" s="38"/>
      <c r="J21" s="38"/>
      <c r="K21" s="154">
        <f t="shared" si="11"/>
        <v>0</v>
      </c>
      <c r="L21" s="34">
        <f t="shared" si="22"/>
        <v>0</v>
      </c>
      <c r="M21" s="38">
        <f t="shared" si="22"/>
        <v>0</v>
      </c>
      <c r="N21" s="154">
        <f t="shared" si="13"/>
        <v>0</v>
      </c>
    </row>
    <row r="22" spans="1:14" ht="16.5" thickBot="1">
      <c r="A22" s="1">
        <v>12</v>
      </c>
      <c r="B22" s="26" t="s">
        <v>117</v>
      </c>
      <c r="C22" s="39"/>
      <c r="D22" s="39"/>
      <c r="E22" s="157">
        <f t="shared" si="9"/>
        <v>0</v>
      </c>
      <c r="F22" s="39"/>
      <c r="G22" s="39"/>
      <c r="H22" s="157">
        <f t="shared" si="10"/>
        <v>0</v>
      </c>
      <c r="I22" s="39"/>
      <c r="J22" s="39"/>
      <c r="K22" s="157">
        <f t="shared" si="11"/>
        <v>0</v>
      </c>
      <c r="L22" s="35">
        <f t="shared" si="22"/>
        <v>0</v>
      </c>
      <c r="M22" s="39">
        <f t="shared" si="22"/>
        <v>0</v>
      </c>
      <c r="N22" s="157">
        <f t="shared" si="13"/>
        <v>0</v>
      </c>
    </row>
    <row r="23" spans="1:14" ht="16.5" thickBot="1">
      <c r="A23" s="5">
        <v>13</v>
      </c>
      <c r="B23" s="27" t="s">
        <v>13</v>
      </c>
      <c r="C23" s="41">
        <f t="shared" ref="C23" si="23">SUM(C18:C22)</f>
        <v>6957</v>
      </c>
      <c r="D23" s="41">
        <f t="shared" ref="D23:M23" si="24">SUM(D18:D22)</f>
        <v>0</v>
      </c>
      <c r="E23" s="156">
        <f t="shared" si="9"/>
        <v>6957</v>
      </c>
      <c r="F23" s="41">
        <f t="shared" ref="F23" si="25">SUM(F18:F22)</f>
        <v>3016</v>
      </c>
      <c r="G23" s="41">
        <f t="shared" si="24"/>
        <v>0</v>
      </c>
      <c r="H23" s="156">
        <f t="shared" si="10"/>
        <v>3016</v>
      </c>
      <c r="I23" s="41">
        <f t="shared" ref="I23" si="26">SUM(I18:I22)</f>
        <v>4611</v>
      </c>
      <c r="J23" s="41">
        <f t="shared" si="24"/>
        <v>0</v>
      </c>
      <c r="K23" s="156">
        <f t="shared" si="11"/>
        <v>4611</v>
      </c>
      <c r="L23" s="40">
        <f t="shared" si="24"/>
        <v>14584</v>
      </c>
      <c r="M23" s="41">
        <f t="shared" si="24"/>
        <v>0</v>
      </c>
      <c r="N23" s="156">
        <f t="shared" si="13"/>
        <v>14584</v>
      </c>
    </row>
    <row r="24" spans="1:14" ht="15.75">
      <c r="A24" s="6">
        <v>14</v>
      </c>
      <c r="B24" s="13" t="s">
        <v>14</v>
      </c>
      <c r="C24" s="37"/>
      <c r="D24" s="37"/>
      <c r="E24" s="153">
        <f t="shared" si="9"/>
        <v>0</v>
      </c>
      <c r="F24" s="37"/>
      <c r="G24" s="37"/>
      <c r="H24" s="153">
        <f t="shared" si="10"/>
        <v>0</v>
      </c>
      <c r="I24" s="37"/>
      <c r="J24" s="37"/>
      <c r="K24" s="153">
        <f t="shared" si="11"/>
        <v>0</v>
      </c>
      <c r="L24" s="33">
        <f t="shared" ref="L24:M30" si="27">C24+F24+I24</f>
        <v>0</v>
      </c>
      <c r="M24" s="37">
        <f t="shared" si="27"/>
        <v>0</v>
      </c>
      <c r="N24" s="153">
        <f t="shared" si="13"/>
        <v>0</v>
      </c>
    </row>
    <row r="25" spans="1:14" ht="15.75">
      <c r="A25" s="2">
        <v>15</v>
      </c>
      <c r="B25" s="15" t="s">
        <v>15</v>
      </c>
      <c r="C25" s="38"/>
      <c r="D25" s="38"/>
      <c r="E25" s="154">
        <f t="shared" si="9"/>
        <v>0</v>
      </c>
      <c r="F25" s="38"/>
      <c r="G25" s="38"/>
      <c r="H25" s="154">
        <f t="shared" si="10"/>
        <v>0</v>
      </c>
      <c r="I25" s="38"/>
      <c r="J25" s="38"/>
      <c r="K25" s="154">
        <f t="shared" si="11"/>
        <v>0</v>
      </c>
      <c r="L25" s="34">
        <f t="shared" si="27"/>
        <v>0</v>
      </c>
      <c r="M25" s="38">
        <f t="shared" si="27"/>
        <v>0</v>
      </c>
      <c r="N25" s="154">
        <f t="shared" si="13"/>
        <v>0</v>
      </c>
    </row>
    <row r="26" spans="1:14" ht="15.75">
      <c r="A26" s="6">
        <v>16</v>
      </c>
      <c r="B26" s="13" t="s">
        <v>16</v>
      </c>
      <c r="C26" s="38"/>
      <c r="D26" s="38"/>
      <c r="E26" s="154">
        <f t="shared" si="9"/>
        <v>0</v>
      </c>
      <c r="F26" s="38"/>
      <c r="G26" s="38"/>
      <c r="H26" s="154">
        <f t="shared" si="10"/>
        <v>0</v>
      </c>
      <c r="I26" s="38"/>
      <c r="J26" s="38"/>
      <c r="K26" s="154">
        <f t="shared" si="11"/>
        <v>0</v>
      </c>
      <c r="L26" s="34">
        <f t="shared" si="27"/>
        <v>0</v>
      </c>
      <c r="M26" s="38">
        <f t="shared" si="27"/>
        <v>0</v>
      </c>
      <c r="N26" s="154">
        <f t="shared" si="13"/>
        <v>0</v>
      </c>
    </row>
    <row r="27" spans="1:14" ht="15.75">
      <c r="A27" s="2">
        <v>17</v>
      </c>
      <c r="B27" s="28" t="s">
        <v>17</v>
      </c>
      <c r="C27" s="38">
        <v>4638</v>
      </c>
      <c r="D27" s="38">
        <f>355+50+1584</f>
        <v>1989</v>
      </c>
      <c r="E27" s="154">
        <f t="shared" si="9"/>
        <v>6627</v>
      </c>
      <c r="F27" s="38"/>
      <c r="G27" s="38">
        <v>131</v>
      </c>
      <c r="H27" s="154">
        <f t="shared" si="10"/>
        <v>131</v>
      </c>
      <c r="I27" s="38"/>
      <c r="J27" s="38"/>
      <c r="K27" s="154">
        <f t="shared" si="11"/>
        <v>0</v>
      </c>
      <c r="L27" s="34">
        <f t="shared" si="27"/>
        <v>4638</v>
      </c>
      <c r="M27" s="38">
        <f t="shared" si="27"/>
        <v>2120</v>
      </c>
      <c r="N27" s="154">
        <f t="shared" si="13"/>
        <v>6758</v>
      </c>
    </row>
    <row r="28" spans="1:14" ht="16.5" thickBot="1">
      <c r="A28" s="8">
        <v>18</v>
      </c>
      <c r="B28" s="29" t="s">
        <v>18</v>
      </c>
      <c r="C28" s="39"/>
      <c r="D28" s="39"/>
      <c r="E28" s="157">
        <f t="shared" si="9"/>
        <v>0</v>
      </c>
      <c r="F28" s="39">
        <f>900-900</f>
        <v>0</v>
      </c>
      <c r="G28" s="39"/>
      <c r="H28" s="157">
        <f t="shared" si="10"/>
        <v>0</v>
      </c>
      <c r="I28" s="39"/>
      <c r="J28" s="39"/>
      <c r="K28" s="157">
        <f t="shared" si="11"/>
        <v>0</v>
      </c>
      <c r="L28" s="35">
        <f t="shared" si="27"/>
        <v>0</v>
      </c>
      <c r="M28" s="39">
        <f t="shared" si="27"/>
        <v>0</v>
      </c>
      <c r="N28" s="157">
        <f t="shared" si="13"/>
        <v>0</v>
      </c>
    </row>
    <row r="29" spans="1:14" ht="15.75">
      <c r="A29" s="6">
        <v>19</v>
      </c>
      <c r="B29" s="13" t="s">
        <v>19</v>
      </c>
      <c r="C29" s="37">
        <f>365+700</f>
        <v>1065</v>
      </c>
      <c r="D29" s="37">
        <v>547</v>
      </c>
      <c r="E29" s="153">
        <f t="shared" si="9"/>
        <v>1612</v>
      </c>
      <c r="F29" s="37"/>
      <c r="G29" s="37">
        <v>90</v>
      </c>
      <c r="H29" s="153">
        <f t="shared" si="10"/>
        <v>90</v>
      </c>
      <c r="I29" s="37">
        <v>980</v>
      </c>
      <c r="J29" s="37">
        <v>-29</v>
      </c>
      <c r="K29" s="153">
        <f t="shared" si="11"/>
        <v>951</v>
      </c>
      <c r="L29" s="33">
        <f t="shared" si="27"/>
        <v>2045</v>
      </c>
      <c r="M29" s="37">
        <f t="shared" si="27"/>
        <v>608</v>
      </c>
      <c r="N29" s="153">
        <f t="shared" si="13"/>
        <v>2653</v>
      </c>
    </row>
    <row r="30" spans="1:14" ht="16.5" thickBot="1">
      <c r="A30" s="3">
        <v>20</v>
      </c>
      <c r="B30" s="24" t="s">
        <v>20</v>
      </c>
      <c r="C30" s="39"/>
      <c r="D30" s="39"/>
      <c r="E30" s="157">
        <f t="shared" si="9"/>
        <v>0</v>
      </c>
      <c r="F30" s="39"/>
      <c r="G30" s="39"/>
      <c r="H30" s="157">
        <f t="shared" si="10"/>
        <v>0</v>
      </c>
      <c r="I30" s="39"/>
      <c r="J30" s="39"/>
      <c r="K30" s="157">
        <f t="shared" si="11"/>
        <v>0</v>
      </c>
      <c r="L30" s="35">
        <f t="shared" si="27"/>
        <v>0</v>
      </c>
      <c r="M30" s="39">
        <f t="shared" si="27"/>
        <v>0</v>
      </c>
      <c r="N30" s="157">
        <f t="shared" si="13"/>
        <v>0</v>
      </c>
    </row>
    <row r="31" spans="1:14" ht="16.5" thickBot="1">
      <c r="A31" s="5">
        <v>21</v>
      </c>
      <c r="B31" s="20" t="s">
        <v>21</v>
      </c>
      <c r="C31" s="41">
        <f t="shared" ref="C31" si="28">SUM(C29:C30)</f>
        <v>1065</v>
      </c>
      <c r="D31" s="41">
        <f t="shared" ref="D31:M31" si="29">SUM(D29:D30)</f>
        <v>547</v>
      </c>
      <c r="E31" s="156">
        <f t="shared" si="9"/>
        <v>1612</v>
      </c>
      <c r="F31" s="41">
        <f t="shared" ref="F31" si="30">SUM(F29:F30)</f>
        <v>0</v>
      </c>
      <c r="G31" s="41">
        <f t="shared" si="29"/>
        <v>90</v>
      </c>
      <c r="H31" s="156">
        <f t="shared" si="10"/>
        <v>90</v>
      </c>
      <c r="I31" s="41">
        <f t="shared" ref="I31" si="31">SUM(I29:I30)</f>
        <v>980</v>
      </c>
      <c r="J31" s="41">
        <f t="shared" si="29"/>
        <v>-29</v>
      </c>
      <c r="K31" s="156">
        <f t="shared" si="11"/>
        <v>951</v>
      </c>
      <c r="L31" s="40">
        <f t="shared" si="29"/>
        <v>2045</v>
      </c>
      <c r="M31" s="41">
        <f t="shared" si="29"/>
        <v>608</v>
      </c>
      <c r="N31" s="156">
        <f t="shared" si="13"/>
        <v>2653</v>
      </c>
    </row>
    <row r="32" spans="1:14" ht="15.75">
      <c r="A32" s="3">
        <v>22</v>
      </c>
      <c r="B32" s="24" t="s">
        <v>22</v>
      </c>
      <c r="C32" s="37"/>
      <c r="D32" s="37"/>
      <c r="E32" s="153">
        <f t="shared" si="9"/>
        <v>0</v>
      </c>
      <c r="F32" s="37"/>
      <c r="G32" s="37"/>
      <c r="H32" s="153">
        <f t="shared" si="10"/>
        <v>0</v>
      </c>
      <c r="I32" s="37"/>
      <c r="J32" s="37"/>
      <c r="K32" s="153">
        <f t="shared" si="11"/>
        <v>0</v>
      </c>
      <c r="L32" s="33">
        <f t="shared" ref="L32:M35" si="32">C32+F32+I32</f>
        <v>0</v>
      </c>
      <c r="M32" s="37">
        <f t="shared" si="32"/>
        <v>0</v>
      </c>
      <c r="N32" s="153">
        <f t="shared" si="13"/>
        <v>0</v>
      </c>
    </row>
    <row r="33" spans="1:14" ht="15.75">
      <c r="A33" s="2">
        <v>23</v>
      </c>
      <c r="B33" s="15" t="s">
        <v>23</v>
      </c>
      <c r="C33" s="38"/>
      <c r="D33" s="38"/>
      <c r="E33" s="154">
        <f t="shared" si="9"/>
        <v>0</v>
      </c>
      <c r="F33" s="38"/>
      <c r="G33" s="38"/>
      <c r="H33" s="154">
        <f t="shared" si="10"/>
        <v>0</v>
      </c>
      <c r="I33" s="38"/>
      <c r="J33" s="38"/>
      <c r="K33" s="154">
        <f t="shared" si="11"/>
        <v>0</v>
      </c>
      <c r="L33" s="34">
        <f t="shared" si="32"/>
        <v>0</v>
      </c>
      <c r="M33" s="38">
        <f t="shared" si="32"/>
        <v>0</v>
      </c>
      <c r="N33" s="154">
        <f t="shared" si="13"/>
        <v>0</v>
      </c>
    </row>
    <row r="34" spans="1:14" ht="15.75">
      <c r="A34" s="6">
        <v>24</v>
      </c>
      <c r="B34" s="13" t="s">
        <v>24</v>
      </c>
      <c r="C34" s="38"/>
      <c r="D34" s="38"/>
      <c r="E34" s="154">
        <f t="shared" si="9"/>
        <v>0</v>
      </c>
      <c r="F34" s="38"/>
      <c r="G34" s="38"/>
      <c r="H34" s="154">
        <f t="shared" si="10"/>
        <v>0</v>
      </c>
      <c r="I34" s="38"/>
      <c r="J34" s="38"/>
      <c r="K34" s="154">
        <f t="shared" si="11"/>
        <v>0</v>
      </c>
      <c r="L34" s="34">
        <f t="shared" si="32"/>
        <v>0</v>
      </c>
      <c r="M34" s="38">
        <f t="shared" si="32"/>
        <v>0</v>
      </c>
      <c r="N34" s="154">
        <f t="shared" si="13"/>
        <v>0</v>
      </c>
    </row>
    <row r="35" spans="1:14" ht="16.5" thickBot="1">
      <c r="A35" s="2">
        <v>25</v>
      </c>
      <c r="B35" s="15" t="s">
        <v>25</v>
      </c>
      <c r="C35" s="39"/>
      <c r="D35" s="39"/>
      <c r="E35" s="157">
        <f t="shared" si="9"/>
        <v>0</v>
      </c>
      <c r="F35" s="39"/>
      <c r="G35" s="39"/>
      <c r="H35" s="157">
        <f t="shared" si="10"/>
        <v>0</v>
      </c>
      <c r="I35" s="39"/>
      <c r="J35" s="39"/>
      <c r="K35" s="157">
        <f t="shared" si="11"/>
        <v>0</v>
      </c>
      <c r="L35" s="35">
        <f t="shared" si="32"/>
        <v>0</v>
      </c>
      <c r="M35" s="39">
        <f t="shared" si="32"/>
        <v>0</v>
      </c>
      <c r="N35" s="157">
        <f t="shared" si="13"/>
        <v>0</v>
      </c>
    </row>
    <row r="36" spans="1:14" ht="16.5" thickBot="1">
      <c r="A36" s="5">
        <v>26</v>
      </c>
      <c r="B36" s="20" t="s">
        <v>45</v>
      </c>
      <c r="C36" s="41">
        <f t="shared" ref="C36" si="33">SUM(C17,C23,C24:C28,C31,C32:C35)</f>
        <v>223328</v>
      </c>
      <c r="D36" s="41">
        <f t="shared" ref="D36:M36" si="34">SUM(D17,D23,D24:D28,D31,D32:D35)</f>
        <v>13433</v>
      </c>
      <c r="E36" s="156">
        <f t="shared" si="9"/>
        <v>236761</v>
      </c>
      <c r="F36" s="41">
        <f t="shared" ref="F36" si="35">SUM(F17,F23,F24:F28,F31,F32:F35)</f>
        <v>103362</v>
      </c>
      <c r="G36" s="41">
        <f t="shared" si="34"/>
        <v>3441</v>
      </c>
      <c r="H36" s="156">
        <f t="shared" si="10"/>
        <v>106803</v>
      </c>
      <c r="I36" s="41">
        <f t="shared" ref="I36" si="36">SUM(I17,I23,I24:I28,I31,I32:I35)</f>
        <v>112814</v>
      </c>
      <c r="J36" s="41">
        <f t="shared" si="34"/>
        <v>1338</v>
      </c>
      <c r="K36" s="156">
        <f t="shared" si="11"/>
        <v>114152</v>
      </c>
      <c r="L36" s="40">
        <f t="shared" si="34"/>
        <v>439504</v>
      </c>
      <c r="M36" s="41">
        <f t="shared" si="34"/>
        <v>18212</v>
      </c>
      <c r="N36" s="156">
        <f t="shared" si="13"/>
        <v>457716</v>
      </c>
    </row>
    <row r="37" spans="1:14" ht="15.75">
      <c r="A37" s="7">
        <v>27</v>
      </c>
      <c r="B37" s="30" t="s">
        <v>46</v>
      </c>
      <c r="C37" s="37"/>
      <c r="D37" s="37"/>
      <c r="E37" s="153">
        <f t="shared" si="9"/>
        <v>0</v>
      </c>
      <c r="F37" s="37"/>
      <c r="G37" s="37"/>
      <c r="H37" s="153">
        <f t="shared" si="10"/>
        <v>0</v>
      </c>
      <c r="I37" s="37"/>
      <c r="J37" s="37"/>
      <c r="K37" s="153">
        <f t="shared" si="11"/>
        <v>0</v>
      </c>
      <c r="L37" s="33">
        <f t="shared" ref="L37:M39" si="37">C37+F37+I37</f>
        <v>0</v>
      </c>
      <c r="M37" s="37">
        <f t="shared" si="37"/>
        <v>0</v>
      </c>
      <c r="N37" s="153">
        <f t="shared" si="13"/>
        <v>0</v>
      </c>
    </row>
    <row r="38" spans="1:14" ht="15.75">
      <c r="A38" s="6">
        <v>28</v>
      </c>
      <c r="B38" s="13" t="s">
        <v>26</v>
      </c>
      <c r="C38" s="38"/>
      <c r="D38" s="38"/>
      <c r="E38" s="154">
        <f t="shared" si="9"/>
        <v>0</v>
      </c>
      <c r="F38" s="38"/>
      <c r="G38" s="38"/>
      <c r="H38" s="154">
        <f t="shared" si="10"/>
        <v>0</v>
      </c>
      <c r="I38" s="38"/>
      <c r="J38" s="38"/>
      <c r="K38" s="154">
        <f t="shared" si="11"/>
        <v>0</v>
      </c>
      <c r="L38" s="34">
        <f t="shared" si="37"/>
        <v>0</v>
      </c>
      <c r="M38" s="38">
        <f t="shared" si="37"/>
        <v>0</v>
      </c>
      <c r="N38" s="154">
        <f t="shared" si="13"/>
        <v>0</v>
      </c>
    </row>
    <row r="39" spans="1:14" ht="16.5" thickBot="1">
      <c r="A39" s="3">
        <v>29</v>
      </c>
      <c r="B39" s="24" t="s">
        <v>27</v>
      </c>
      <c r="C39" s="39"/>
      <c r="D39" s="39"/>
      <c r="E39" s="157">
        <f t="shared" si="9"/>
        <v>0</v>
      </c>
      <c r="F39" s="39"/>
      <c r="G39" s="39"/>
      <c r="H39" s="157">
        <f t="shared" si="10"/>
        <v>0</v>
      </c>
      <c r="I39" s="39"/>
      <c r="J39" s="39"/>
      <c r="K39" s="157">
        <f t="shared" si="11"/>
        <v>0</v>
      </c>
      <c r="L39" s="35">
        <f t="shared" si="37"/>
        <v>0</v>
      </c>
      <c r="M39" s="39">
        <f t="shared" si="37"/>
        <v>0</v>
      </c>
      <c r="N39" s="157">
        <f t="shared" si="13"/>
        <v>0</v>
      </c>
    </row>
    <row r="40" spans="1:14" ht="16.5" thickBot="1">
      <c r="A40" s="5">
        <v>30</v>
      </c>
      <c r="B40" s="20" t="s">
        <v>47</v>
      </c>
      <c r="C40" s="41">
        <f t="shared" ref="C40" si="38">SUM(C37:C39)</f>
        <v>0</v>
      </c>
      <c r="D40" s="41">
        <f t="shared" ref="D40:M40" si="39">SUM(D37:D39)</f>
        <v>0</v>
      </c>
      <c r="E40" s="156">
        <f t="shared" si="9"/>
        <v>0</v>
      </c>
      <c r="F40" s="41">
        <f t="shared" ref="F40" si="40">SUM(F37:F39)</f>
        <v>0</v>
      </c>
      <c r="G40" s="41">
        <f t="shared" si="39"/>
        <v>0</v>
      </c>
      <c r="H40" s="156">
        <f t="shared" si="10"/>
        <v>0</v>
      </c>
      <c r="I40" s="41">
        <f t="shared" ref="I40" si="41">SUM(I37:I39)</f>
        <v>0</v>
      </c>
      <c r="J40" s="41">
        <f t="shared" si="39"/>
        <v>0</v>
      </c>
      <c r="K40" s="156">
        <f t="shared" si="11"/>
        <v>0</v>
      </c>
      <c r="L40" s="40">
        <f t="shared" si="39"/>
        <v>0</v>
      </c>
      <c r="M40" s="41">
        <f t="shared" si="39"/>
        <v>0</v>
      </c>
      <c r="N40" s="156">
        <f t="shared" si="13"/>
        <v>0</v>
      </c>
    </row>
    <row r="41" spans="1:14" ht="16.5" thickBot="1">
      <c r="A41" s="225" t="s">
        <v>48</v>
      </c>
      <c r="B41" s="226"/>
      <c r="C41" s="45">
        <f t="shared" ref="C41" si="42">SUM(C36,C40)</f>
        <v>223328</v>
      </c>
      <c r="D41" s="45">
        <f t="shared" ref="D41:M41" si="43">SUM(D36,D40)</f>
        <v>13433</v>
      </c>
      <c r="E41" s="158">
        <f t="shared" si="9"/>
        <v>236761</v>
      </c>
      <c r="F41" s="45">
        <f t="shared" ref="F41" si="44">SUM(F36,F40)</f>
        <v>103362</v>
      </c>
      <c r="G41" s="45">
        <f t="shared" si="43"/>
        <v>3441</v>
      </c>
      <c r="H41" s="158">
        <f t="shared" si="10"/>
        <v>106803</v>
      </c>
      <c r="I41" s="45">
        <f t="shared" ref="I41" si="45">SUM(I36,I40)</f>
        <v>112814</v>
      </c>
      <c r="J41" s="45">
        <f t="shared" si="43"/>
        <v>1338</v>
      </c>
      <c r="K41" s="158">
        <f t="shared" si="11"/>
        <v>114152</v>
      </c>
      <c r="L41" s="44">
        <f t="shared" si="43"/>
        <v>439504</v>
      </c>
      <c r="M41" s="45">
        <f t="shared" si="43"/>
        <v>18212</v>
      </c>
      <c r="N41" s="158">
        <f t="shared" si="13"/>
        <v>457716</v>
      </c>
    </row>
    <row r="42" spans="1:14" ht="29.25" customHeight="1" thickTop="1" thickBot="1">
      <c r="A42" s="227" t="s">
        <v>28</v>
      </c>
      <c r="B42" s="228"/>
      <c r="C42" s="47"/>
      <c r="D42" s="47"/>
      <c r="E42" s="159"/>
      <c r="F42" s="47"/>
      <c r="G42" s="47"/>
      <c r="H42" s="159"/>
      <c r="I42" s="47"/>
      <c r="J42" s="47"/>
      <c r="K42" s="159"/>
      <c r="L42" s="46"/>
      <c r="M42" s="47"/>
      <c r="N42" s="159"/>
    </row>
    <row r="43" spans="1:14" ht="31.5">
      <c r="A43" s="6">
        <v>31</v>
      </c>
      <c r="B43" s="12" t="s">
        <v>29</v>
      </c>
      <c r="C43" s="37">
        <v>13657</v>
      </c>
      <c r="D43" s="37">
        <f>1850+1834</f>
        <v>3684</v>
      </c>
      <c r="E43" s="153">
        <f t="shared" si="9"/>
        <v>17341</v>
      </c>
      <c r="F43" s="37">
        <v>6585</v>
      </c>
      <c r="G43" s="37"/>
      <c r="H43" s="153">
        <f t="shared" si="10"/>
        <v>6585</v>
      </c>
      <c r="I43" s="37"/>
      <c r="J43" s="37"/>
      <c r="K43" s="153">
        <f t="shared" si="11"/>
        <v>0</v>
      </c>
      <c r="L43" s="33">
        <f t="shared" ref="L43:M53" si="46">C43+F43+I43</f>
        <v>20242</v>
      </c>
      <c r="M43" s="37">
        <f t="shared" si="46"/>
        <v>3684</v>
      </c>
      <c r="N43" s="153">
        <f t="shared" si="13"/>
        <v>23926</v>
      </c>
    </row>
    <row r="44" spans="1:14" ht="15.75">
      <c r="A44" s="6">
        <v>32</v>
      </c>
      <c r="B44" s="13" t="s">
        <v>30</v>
      </c>
      <c r="C44" s="38"/>
      <c r="D44" s="38"/>
      <c r="E44" s="154">
        <f t="shared" si="9"/>
        <v>0</v>
      </c>
      <c r="F44" s="38"/>
      <c r="G44" s="38"/>
      <c r="H44" s="154">
        <f t="shared" si="10"/>
        <v>0</v>
      </c>
      <c r="I44" s="38"/>
      <c r="J44" s="38"/>
      <c r="K44" s="154">
        <f t="shared" si="11"/>
        <v>0</v>
      </c>
      <c r="L44" s="34">
        <f t="shared" si="46"/>
        <v>0</v>
      </c>
      <c r="M44" s="38">
        <f t="shared" si="46"/>
        <v>0</v>
      </c>
      <c r="N44" s="154">
        <f t="shared" si="13"/>
        <v>0</v>
      </c>
    </row>
    <row r="45" spans="1:14" ht="31.5">
      <c r="A45" s="6">
        <v>33</v>
      </c>
      <c r="B45" s="14" t="s">
        <v>31</v>
      </c>
      <c r="C45" s="38"/>
      <c r="D45" s="38"/>
      <c r="E45" s="154">
        <f t="shared" si="9"/>
        <v>0</v>
      </c>
      <c r="F45" s="38"/>
      <c r="G45" s="38"/>
      <c r="H45" s="154">
        <f t="shared" si="10"/>
        <v>0</v>
      </c>
      <c r="I45" s="38"/>
      <c r="J45" s="38"/>
      <c r="K45" s="154">
        <f t="shared" si="11"/>
        <v>0</v>
      </c>
      <c r="L45" s="34">
        <f t="shared" si="46"/>
        <v>0</v>
      </c>
      <c r="M45" s="38">
        <f t="shared" si="46"/>
        <v>0</v>
      </c>
      <c r="N45" s="154">
        <f t="shared" si="13"/>
        <v>0</v>
      </c>
    </row>
    <row r="46" spans="1:14" ht="15.75">
      <c r="A46" s="6">
        <v>34</v>
      </c>
      <c r="B46" s="15" t="s">
        <v>32</v>
      </c>
      <c r="C46" s="38">
        <f>187765-1-743+7661-83+385+5781</f>
        <v>200765</v>
      </c>
      <c r="D46" s="38">
        <f>355+657+2951+454-547+217+972+2764</f>
        <v>7823</v>
      </c>
      <c r="E46" s="154">
        <f t="shared" si="9"/>
        <v>208588</v>
      </c>
      <c r="F46" s="38">
        <f>87753+743+5104-81+172</f>
        <v>93691</v>
      </c>
      <c r="G46" s="38">
        <f>131-90-1258+2473+2095</f>
        <v>3351</v>
      </c>
      <c r="H46" s="154">
        <f t="shared" si="10"/>
        <v>97042</v>
      </c>
      <c r="I46" s="38">
        <f>96065+3464+6259+1435</f>
        <v>107223</v>
      </c>
      <c r="J46" s="38">
        <f>29+286+1052</f>
        <v>1367</v>
      </c>
      <c r="K46" s="154">
        <f t="shared" si="11"/>
        <v>108590</v>
      </c>
      <c r="L46" s="34">
        <f t="shared" si="46"/>
        <v>401679</v>
      </c>
      <c r="M46" s="38">
        <f t="shared" si="46"/>
        <v>12541</v>
      </c>
      <c r="N46" s="154">
        <f t="shared" si="13"/>
        <v>414220</v>
      </c>
    </row>
    <row r="47" spans="1:14" ht="15.75">
      <c r="A47" s="6">
        <v>35</v>
      </c>
      <c r="B47" s="15" t="s">
        <v>33</v>
      </c>
      <c r="C47" s="38">
        <f>365+700</f>
        <v>1065</v>
      </c>
      <c r="D47" s="38">
        <v>547</v>
      </c>
      <c r="E47" s="154">
        <f t="shared" si="9"/>
        <v>1612</v>
      </c>
      <c r="F47" s="38">
        <f>900-900</f>
        <v>0</v>
      </c>
      <c r="G47" s="38">
        <v>90</v>
      </c>
      <c r="H47" s="154">
        <f t="shared" si="10"/>
        <v>90</v>
      </c>
      <c r="I47" s="38">
        <v>980</v>
      </c>
      <c r="J47" s="38">
        <v>-29</v>
      </c>
      <c r="K47" s="154">
        <f t="shared" si="11"/>
        <v>951</v>
      </c>
      <c r="L47" s="34">
        <f t="shared" si="46"/>
        <v>2045</v>
      </c>
      <c r="M47" s="38">
        <f t="shared" si="46"/>
        <v>608</v>
      </c>
      <c r="N47" s="154">
        <f t="shared" si="13"/>
        <v>2653</v>
      </c>
    </row>
    <row r="48" spans="1:14" ht="15.75">
      <c r="A48" s="6">
        <v>36</v>
      </c>
      <c r="B48" s="15" t="s">
        <v>34</v>
      </c>
      <c r="C48" s="38"/>
      <c r="D48" s="38"/>
      <c r="E48" s="154">
        <f t="shared" si="9"/>
        <v>0</v>
      </c>
      <c r="F48" s="38"/>
      <c r="G48" s="38"/>
      <c r="H48" s="154">
        <f t="shared" si="10"/>
        <v>0</v>
      </c>
      <c r="I48" s="38"/>
      <c r="J48" s="38"/>
      <c r="K48" s="154">
        <f t="shared" si="11"/>
        <v>0</v>
      </c>
      <c r="L48" s="34">
        <f t="shared" si="46"/>
        <v>0</v>
      </c>
      <c r="M48" s="38">
        <f t="shared" si="46"/>
        <v>0</v>
      </c>
      <c r="N48" s="154">
        <f t="shared" si="13"/>
        <v>0</v>
      </c>
    </row>
    <row r="49" spans="1:14" ht="15.75">
      <c r="A49" s="6">
        <v>37</v>
      </c>
      <c r="B49" s="15" t="s">
        <v>35</v>
      </c>
      <c r="C49" s="38"/>
      <c r="D49" s="38">
        <v>1379</v>
      </c>
      <c r="E49" s="154">
        <f t="shared" si="9"/>
        <v>1379</v>
      </c>
      <c r="F49" s="38"/>
      <c r="G49" s="38"/>
      <c r="H49" s="154">
        <f t="shared" si="10"/>
        <v>0</v>
      </c>
      <c r="I49" s="38"/>
      <c r="J49" s="38"/>
      <c r="K49" s="154">
        <f t="shared" si="11"/>
        <v>0</v>
      </c>
      <c r="L49" s="34">
        <f t="shared" si="46"/>
        <v>0</v>
      </c>
      <c r="M49" s="38">
        <f t="shared" si="46"/>
        <v>1379</v>
      </c>
      <c r="N49" s="154">
        <f t="shared" si="13"/>
        <v>1379</v>
      </c>
    </row>
    <row r="50" spans="1:14" ht="15.75">
      <c r="A50" s="4">
        <v>38</v>
      </c>
      <c r="B50" s="16" t="s">
        <v>36</v>
      </c>
      <c r="C50" s="49"/>
      <c r="D50" s="49"/>
      <c r="E50" s="160">
        <f t="shared" si="9"/>
        <v>0</v>
      </c>
      <c r="F50" s="49"/>
      <c r="G50" s="49"/>
      <c r="H50" s="160">
        <f t="shared" si="10"/>
        <v>0</v>
      </c>
      <c r="I50" s="49"/>
      <c r="J50" s="49"/>
      <c r="K50" s="160">
        <f t="shared" si="11"/>
        <v>0</v>
      </c>
      <c r="L50" s="48">
        <f t="shared" si="46"/>
        <v>0</v>
      </c>
      <c r="M50" s="49">
        <f t="shared" si="46"/>
        <v>0</v>
      </c>
      <c r="N50" s="160">
        <f t="shared" si="13"/>
        <v>0</v>
      </c>
    </row>
    <row r="51" spans="1:14" ht="15.75">
      <c r="A51" s="6">
        <v>39</v>
      </c>
      <c r="B51" s="15" t="s">
        <v>37</v>
      </c>
      <c r="C51" s="38"/>
      <c r="D51" s="38"/>
      <c r="E51" s="154">
        <f t="shared" si="9"/>
        <v>0</v>
      </c>
      <c r="F51" s="38"/>
      <c r="G51" s="38"/>
      <c r="H51" s="154">
        <f t="shared" si="10"/>
        <v>0</v>
      </c>
      <c r="I51" s="38"/>
      <c r="J51" s="38"/>
      <c r="K51" s="154">
        <f t="shared" si="11"/>
        <v>0</v>
      </c>
      <c r="L51" s="34">
        <f t="shared" si="46"/>
        <v>0</v>
      </c>
      <c r="M51" s="38">
        <f t="shared" si="46"/>
        <v>0</v>
      </c>
      <c r="N51" s="154">
        <f t="shared" si="13"/>
        <v>0</v>
      </c>
    </row>
    <row r="52" spans="1:14" ht="15.75">
      <c r="A52" s="6">
        <v>40</v>
      </c>
      <c r="B52" s="17" t="s">
        <v>38</v>
      </c>
      <c r="C52" s="38"/>
      <c r="D52" s="38"/>
      <c r="E52" s="154">
        <f t="shared" si="9"/>
        <v>0</v>
      </c>
      <c r="F52" s="38"/>
      <c r="G52" s="38"/>
      <c r="H52" s="154">
        <f t="shared" si="10"/>
        <v>0</v>
      </c>
      <c r="I52" s="38"/>
      <c r="J52" s="38"/>
      <c r="K52" s="154">
        <f t="shared" si="11"/>
        <v>0</v>
      </c>
      <c r="L52" s="34">
        <f t="shared" si="46"/>
        <v>0</v>
      </c>
      <c r="M52" s="38">
        <f t="shared" si="46"/>
        <v>0</v>
      </c>
      <c r="N52" s="154">
        <f t="shared" si="13"/>
        <v>0</v>
      </c>
    </row>
    <row r="53" spans="1:14" ht="16.5" thickBot="1">
      <c r="A53" s="1">
        <v>41</v>
      </c>
      <c r="B53" s="18" t="s">
        <v>39</v>
      </c>
      <c r="C53" s="39"/>
      <c r="D53" s="39"/>
      <c r="E53" s="157">
        <f t="shared" si="9"/>
        <v>0</v>
      </c>
      <c r="F53" s="39"/>
      <c r="G53" s="39"/>
      <c r="H53" s="157">
        <f t="shared" si="10"/>
        <v>0</v>
      </c>
      <c r="I53" s="39"/>
      <c r="J53" s="39"/>
      <c r="K53" s="157">
        <f t="shared" si="11"/>
        <v>0</v>
      </c>
      <c r="L53" s="35">
        <f t="shared" si="46"/>
        <v>0</v>
      </c>
      <c r="M53" s="39">
        <f t="shared" si="46"/>
        <v>0</v>
      </c>
      <c r="N53" s="157">
        <f t="shared" si="13"/>
        <v>0</v>
      </c>
    </row>
    <row r="54" spans="1:14" ht="16.5" thickBot="1">
      <c r="A54" s="5">
        <v>42</v>
      </c>
      <c r="B54" s="19" t="s">
        <v>49</v>
      </c>
      <c r="C54" s="41">
        <f t="shared" ref="C54" si="47">SUM(C46:C49,C51:C53)</f>
        <v>201830</v>
      </c>
      <c r="D54" s="41">
        <f t="shared" ref="D54:M54" si="48">SUM(D46:D49,D51:D53)</f>
        <v>9749</v>
      </c>
      <c r="E54" s="156">
        <f t="shared" si="9"/>
        <v>211579</v>
      </c>
      <c r="F54" s="41">
        <f t="shared" ref="F54" si="49">SUM(F46:F49,F51:F53)</f>
        <v>93691</v>
      </c>
      <c r="G54" s="41">
        <f t="shared" si="48"/>
        <v>3441</v>
      </c>
      <c r="H54" s="156">
        <f t="shared" si="10"/>
        <v>97132</v>
      </c>
      <c r="I54" s="41">
        <f t="shared" ref="I54" si="50">SUM(I46:I49,I51:I53)</f>
        <v>108203</v>
      </c>
      <c r="J54" s="41">
        <f t="shared" si="48"/>
        <v>1338</v>
      </c>
      <c r="K54" s="156">
        <f t="shared" si="11"/>
        <v>109541</v>
      </c>
      <c r="L54" s="40">
        <f t="shared" si="48"/>
        <v>403724</v>
      </c>
      <c r="M54" s="41">
        <f t="shared" si="48"/>
        <v>14528</v>
      </c>
      <c r="N54" s="156">
        <f t="shared" si="13"/>
        <v>418252</v>
      </c>
    </row>
    <row r="55" spans="1:14" ht="16.5" thickBot="1">
      <c r="A55" s="6">
        <v>43</v>
      </c>
      <c r="B55" s="13" t="s">
        <v>40</v>
      </c>
      <c r="C55" s="37"/>
      <c r="D55" s="37"/>
      <c r="E55" s="153">
        <f t="shared" si="9"/>
        <v>0</v>
      </c>
      <c r="F55" s="37"/>
      <c r="G55" s="37"/>
      <c r="H55" s="153">
        <f t="shared" si="10"/>
        <v>0</v>
      </c>
      <c r="I55" s="37"/>
      <c r="J55" s="37"/>
      <c r="K55" s="153">
        <f t="shared" si="11"/>
        <v>0</v>
      </c>
      <c r="L55" s="33">
        <f t="shared" ref="L55:M55" si="51">C55+F55+I55</f>
        <v>0</v>
      </c>
      <c r="M55" s="37">
        <f t="shared" si="51"/>
        <v>0</v>
      </c>
      <c r="N55" s="153">
        <f t="shared" si="13"/>
        <v>0</v>
      </c>
    </row>
    <row r="56" spans="1:14" ht="16.5" thickBot="1">
      <c r="A56" s="5">
        <v>44</v>
      </c>
      <c r="B56" s="20" t="s">
        <v>76</v>
      </c>
      <c r="C56" s="41">
        <f t="shared" ref="C56" si="52">SUM(C42:C44,C53,C54:C55)</f>
        <v>215487</v>
      </c>
      <c r="D56" s="41">
        <f t="shared" ref="D56:M56" si="53">SUM(D42:D44,D53,D54:D55)</f>
        <v>13433</v>
      </c>
      <c r="E56" s="156">
        <f t="shared" si="9"/>
        <v>228920</v>
      </c>
      <c r="F56" s="41">
        <f t="shared" ref="F56" si="54">SUM(F42:F44,F53,F54:F55)</f>
        <v>100276</v>
      </c>
      <c r="G56" s="41">
        <f t="shared" si="53"/>
        <v>3441</v>
      </c>
      <c r="H56" s="156">
        <f t="shared" si="10"/>
        <v>103717</v>
      </c>
      <c r="I56" s="41">
        <f t="shared" ref="I56" si="55">SUM(I42:I44,I53,I54:I55)</f>
        <v>108203</v>
      </c>
      <c r="J56" s="41">
        <f t="shared" si="53"/>
        <v>1338</v>
      </c>
      <c r="K56" s="156">
        <f t="shared" si="11"/>
        <v>109541</v>
      </c>
      <c r="L56" s="40">
        <f t="shared" si="53"/>
        <v>423966</v>
      </c>
      <c r="M56" s="41">
        <f t="shared" si="53"/>
        <v>18212</v>
      </c>
      <c r="N56" s="156">
        <f t="shared" si="13"/>
        <v>442178</v>
      </c>
    </row>
    <row r="57" spans="1:14" ht="16.5" thickBot="1">
      <c r="A57" s="212">
        <v>45</v>
      </c>
      <c r="B57" s="213" t="s">
        <v>113</v>
      </c>
      <c r="C57" s="41">
        <v>7841</v>
      </c>
      <c r="D57" s="41"/>
      <c r="E57" s="156">
        <f t="shared" si="9"/>
        <v>7841</v>
      </c>
      <c r="F57" s="41">
        <v>3086</v>
      </c>
      <c r="G57" s="41"/>
      <c r="H57" s="156">
        <f t="shared" si="10"/>
        <v>3086</v>
      </c>
      <c r="I57" s="41">
        <v>4611</v>
      </c>
      <c r="J57" s="41"/>
      <c r="K57" s="156">
        <f t="shared" si="11"/>
        <v>4611</v>
      </c>
      <c r="L57" s="156">
        <f t="shared" ref="L57" si="56">C57+F57+I57</f>
        <v>15538</v>
      </c>
      <c r="M57" s="156">
        <f t="shared" ref="M57" si="57">D57+G57+J57</f>
        <v>0</v>
      </c>
      <c r="N57" s="156">
        <f t="shared" si="13"/>
        <v>15538</v>
      </c>
    </row>
    <row r="58" spans="1:14" ht="15.75">
      <c r="A58" s="6">
        <v>46</v>
      </c>
      <c r="B58" s="13" t="s">
        <v>44</v>
      </c>
      <c r="C58" s="37"/>
      <c r="D58" s="37"/>
      <c r="E58" s="153">
        <f t="shared" si="9"/>
        <v>0</v>
      </c>
      <c r="F58" s="37"/>
      <c r="G58" s="37"/>
      <c r="H58" s="153">
        <f t="shared" si="10"/>
        <v>0</v>
      </c>
      <c r="I58" s="37"/>
      <c r="J58" s="37"/>
      <c r="K58" s="153">
        <f t="shared" si="11"/>
        <v>0</v>
      </c>
      <c r="L58" s="33">
        <f t="shared" ref="L58:M60" si="58">C58+F58+I58</f>
        <v>0</v>
      </c>
      <c r="M58" s="37">
        <f t="shared" si="58"/>
        <v>0</v>
      </c>
      <c r="N58" s="153">
        <f t="shared" si="13"/>
        <v>0</v>
      </c>
    </row>
    <row r="59" spans="1:14" ht="15.75">
      <c r="A59" s="6">
        <v>47</v>
      </c>
      <c r="B59" s="15" t="s">
        <v>41</v>
      </c>
      <c r="C59" s="38"/>
      <c r="D59" s="38"/>
      <c r="E59" s="154">
        <f t="shared" si="9"/>
        <v>0</v>
      </c>
      <c r="F59" s="38"/>
      <c r="G59" s="38"/>
      <c r="H59" s="154">
        <f t="shared" si="10"/>
        <v>0</v>
      </c>
      <c r="I59" s="38"/>
      <c r="J59" s="38"/>
      <c r="K59" s="154">
        <f t="shared" si="11"/>
        <v>0</v>
      </c>
      <c r="L59" s="34">
        <f t="shared" si="58"/>
        <v>0</v>
      </c>
      <c r="M59" s="38"/>
      <c r="N59" s="154">
        <f t="shared" si="13"/>
        <v>0</v>
      </c>
    </row>
    <row r="60" spans="1:14" ht="16.5" thickBot="1">
      <c r="A60" s="6">
        <v>48</v>
      </c>
      <c r="B60" s="15" t="s">
        <v>42</v>
      </c>
      <c r="C60" s="39"/>
      <c r="D60" s="39"/>
      <c r="E60" s="157">
        <f t="shared" si="9"/>
        <v>0</v>
      </c>
      <c r="F60" s="39"/>
      <c r="G60" s="39"/>
      <c r="H60" s="157">
        <f t="shared" si="10"/>
        <v>0</v>
      </c>
      <c r="I60" s="39"/>
      <c r="J60" s="39"/>
      <c r="K60" s="157">
        <f t="shared" si="11"/>
        <v>0</v>
      </c>
      <c r="L60" s="35">
        <f t="shared" si="58"/>
        <v>0</v>
      </c>
      <c r="M60" s="39">
        <f t="shared" si="58"/>
        <v>0</v>
      </c>
      <c r="N60" s="157">
        <f t="shared" si="13"/>
        <v>0</v>
      </c>
    </row>
    <row r="61" spans="1:14" ht="16.5" thickBot="1">
      <c r="A61" s="5">
        <v>49</v>
      </c>
      <c r="B61" s="20" t="s">
        <v>50</v>
      </c>
      <c r="C61" s="41">
        <f t="shared" ref="C61" si="59">SUM(C58:C60)</f>
        <v>0</v>
      </c>
      <c r="D61" s="41">
        <f t="shared" ref="D61:M61" si="60">SUM(D58:D60)</f>
        <v>0</v>
      </c>
      <c r="E61" s="156">
        <f t="shared" si="9"/>
        <v>0</v>
      </c>
      <c r="F61" s="41">
        <f t="shared" ref="F61" si="61">SUM(F58:F60)</f>
        <v>0</v>
      </c>
      <c r="G61" s="41">
        <f t="shared" si="60"/>
        <v>0</v>
      </c>
      <c r="H61" s="156">
        <f t="shared" si="10"/>
        <v>0</v>
      </c>
      <c r="I61" s="41">
        <f t="shared" ref="I61" si="62">SUM(I58:I60)</f>
        <v>0</v>
      </c>
      <c r="J61" s="41">
        <f t="shared" si="60"/>
        <v>0</v>
      </c>
      <c r="K61" s="156">
        <f t="shared" si="11"/>
        <v>0</v>
      </c>
      <c r="L61" s="40">
        <f t="shared" si="60"/>
        <v>0</v>
      </c>
      <c r="M61" s="41">
        <f t="shared" si="60"/>
        <v>0</v>
      </c>
      <c r="N61" s="156">
        <f t="shared" si="13"/>
        <v>0</v>
      </c>
    </row>
    <row r="62" spans="1:14" ht="16.5" thickBot="1">
      <c r="A62" s="229" t="s">
        <v>77</v>
      </c>
      <c r="B62" s="230"/>
      <c r="C62" s="45">
        <f>C56+C57+C61</f>
        <v>223328</v>
      </c>
      <c r="D62" s="45">
        <f>D56+D57+D61</f>
        <v>13433</v>
      </c>
      <c r="E62" s="158">
        <f t="shared" si="9"/>
        <v>236761</v>
      </c>
      <c r="F62" s="45">
        <f>F56+F57+F61</f>
        <v>103362</v>
      </c>
      <c r="G62" s="45">
        <f>G56+G57+G61</f>
        <v>3441</v>
      </c>
      <c r="H62" s="158">
        <f t="shared" si="10"/>
        <v>106803</v>
      </c>
      <c r="I62" s="45">
        <f>I56+I57+I61</f>
        <v>112814</v>
      </c>
      <c r="J62" s="45">
        <f>J56+J57+J61</f>
        <v>1338</v>
      </c>
      <c r="K62" s="158">
        <f t="shared" si="11"/>
        <v>114152</v>
      </c>
      <c r="L62" s="44">
        <f>L56+L57+L61</f>
        <v>439504</v>
      </c>
      <c r="M62" s="45">
        <f>M56+M57+M61</f>
        <v>18212</v>
      </c>
      <c r="N62" s="158">
        <f t="shared" si="13"/>
        <v>457716</v>
      </c>
    </row>
    <row r="63" spans="1:14" ht="17.25" thickTop="1" thickBot="1">
      <c r="A63" s="215"/>
      <c r="B63" s="216"/>
      <c r="C63" s="10"/>
      <c r="D63" s="10"/>
      <c r="E63" s="159"/>
      <c r="F63" s="10"/>
      <c r="G63" s="10"/>
      <c r="H63" s="159"/>
      <c r="I63" s="10"/>
      <c r="J63" s="10"/>
      <c r="K63" s="159"/>
      <c r="L63" s="50"/>
      <c r="M63" s="10"/>
      <c r="N63" s="159"/>
    </row>
    <row r="64" spans="1:14" ht="16.5" thickBot="1">
      <c r="A64" s="9">
        <v>50</v>
      </c>
      <c r="B64" s="11" t="s">
        <v>43</v>
      </c>
      <c r="C64" s="201">
        <f>58+1</f>
        <v>59</v>
      </c>
      <c r="D64" s="201"/>
      <c r="E64" s="202">
        <f t="shared" si="9"/>
        <v>59</v>
      </c>
      <c r="F64" s="201">
        <v>30</v>
      </c>
      <c r="G64" s="201"/>
      <c r="H64" s="202">
        <f t="shared" si="10"/>
        <v>30</v>
      </c>
      <c r="I64" s="201">
        <v>33</v>
      </c>
      <c r="J64" s="201"/>
      <c r="K64" s="202">
        <f t="shared" si="11"/>
        <v>33</v>
      </c>
      <c r="L64" s="200">
        <f>C64+F64+I64</f>
        <v>122</v>
      </c>
      <c r="M64" s="201">
        <f>D64+G64+J64</f>
        <v>0</v>
      </c>
      <c r="N64" s="202">
        <f t="shared" si="13"/>
        <v>122</v>
      </c>
    </row>
  </sheetData>
  <mergeCells count="31">
    <mergeCell ref="A62:B62"/>
    <mergeCell ref="A63:B63"/>
    <mergeCell ref="L8:L9"/>
    <mergeCell ref="M8:M9"/>
    <mergeCell ref="N8:N9"/>
    <mergeCell ref="A10:B10"/>
    <mergeCell ref="A41:B41"/>
    <mergeCell ref="A42:B42"/>
    <mergeCell ref="C8:C9"/>
    <mergeCell ref="D8:D9"/>
    <mergeCell ref="E8:E9"/>
    <mergeCell ref="F8:F9"/>
    <mergeCell ref="G8:G9"/>
    <mergeCell ref="I8:I9"/>
    <mergeCell ref="J8:J9"/>
    <mergeCell ref="K2:N2"/>
    <mergeCell ref="K3:N3"/>
    <mergeCell ref="J1:N1"/>
    <mergeCell ref="C1:E2"/>
    <mergeCell ref="A5:A9"/>
    <mergeCell ref="B5:B9"/>
    <mergeCell ref="C5:E5"/>
    <mergeCell ref="F5:H5"/>
    <mergeCell ref="H8:H9"/>
    <mergeCell ref="K8:K9"/>
    <mergeCell ref="L5:N5"/>
    <mergeCell ref="C6:E7"/>
    <mergeCell ref="F6:H7"/>
    <mergeCell ref="I6:K7"/>
    <mergeCell ref="L6:N7"/>
    <mergeCell ref="I5:K5"/>
  </mergeCells>
  <pageMargins left="0.57999999999999996" right="0.23622047244094491" top="0.15748031496062992" bottom="0.23622047244094491" header="0.15748031496062992" footer="0.19685039370078741"/>
  <pageSetup paperSize="9" scale="49" orientation="landscape" horizontalDpi="200" verticalDpi="2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N65"/>
  <sheetViews>
    <sheetView view="pageBreakPreview" zoomScale="80" zoomScaleNormal="80" zoomScaleSheetLayoutView="80" workbookViewId="0">
      <pane xSplit="2" ySplit="10" topLeftCell="J38" activePane="bottomRight" state="frozen"/>
      <selection pane="topRight" activeCell="C1" sqref="C1"/>
      <selection pane="bottomLeft" activeCell="A11" sqref="A11"/>
      <selection pane="bottomRight" activeCell="J2" sqref="J2"/>
    </sheetView>
  </sheetViews>
  <sheetFormatPr defaultRowHeight="15"/>
  <cols>
    <col min="1" max="1" width="11.7109375" bestFit="1" customWidth="1"/>
    <col min="2" max="2" width="93.140625" bestFit="1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51"/>
      <c r="B1" s="51"/>
      <c r="C1" s="248"/>
      <c r="D1" s="248"/>
      <c r="E1" s="248"/>
      <c r="F1" s="52"/>
      <c r="G1" s="52"/>
      <c r="H1" s="52"/>
      <c r="I1" s="52"/>
      <c r="J1" s="214" t="s">
        <v>124</v>
      </c>
      <c r="K1" s="214"/>
      <c r="L1" s="214"/>
      <c r="M1" s="214"/>
      <c r="N1" s="214"/>
    </row>
    <row r="2" spans="1:14" ht="18.75">
      <c r="A2" s="51"/>
      <c r="B2" s="51"/>
      <c r="C2" s="248"/>
      <c r="D2" s="248"/>
      <c r="E2" s="248"/>
      <c r="F2" s="52"/>
      <c r="G2" s="52"/>
      <c r="H2" s="52"/>
      <c r="I2" s="52"/>
      <c r="J2" s="52"/>
      <c r="K2" s="214" t="s">
        <v>111</v>
      </c>
      <c r="L2" s="214"/>
      <c r="M2" s="214"/>
      <c r="N2" s="214"/>
    </row>
    <row r="3" spans="1:14">
      <c r="L3" s="249" t="s">
        <v>112</v>
      </c>
      <c r="M3" s="249"/>
      <c r="N3" s="249"/>
    </row>
    <row r="4" spans="1:14" ht="15.75" thickBot="1"/>
    <row r="5" spans="1:14" ht="16.5" thickBot="1">
      <c r="A5" s="217" t="s">
        <v>0</v>
      </c>
      <c r="B5" s="220" t="s">
        <v>1</v>
      </c>
      <c r="C5" s="241">
        <v>2105</v>
      </c>
      <c r="D5" s="242"/>
      <c r="E5" s="243"/>
      <c r="F5" s="244" t="s">
        <v>73</v>
      </c>
      <c r="G5" s="245"/>
      <c r="H5" s="246"/>
      <c r="I5" s="244" t="s">
        <v>72</v>
      </c>
      <c r="J5" s="245"/>
      <c r="K5" s="246"/>
      <c r="L5" s="241">
        <v>2105</v>
      </c>
      <c r="M5" s="242"/>
      <c r="N5" s="243"/>
    </row>
    <row r="6" spans="1:14" ht="15" customHeight="1">
      <c r="A6" s="218"/>
      <c r="B6" s="221"/>
      <c r="C6" s="233" t="s">
        <v>80</v>
      </c>
      <c r="D6" s="234"/>
      <c r="E6" s="231"/>
      <c r="F6" s="233" t="s">
        <v>75</v>
      </c>
      <c r="G6" s="234"/>
      <c r="H6" s="234"/>
      <c r="I6" s="233" t="s">
        <v>74</v>
      </c>
      <c r="J6" s="234"/>
      <c r="K6" s="231"/>
      <c r="L6" s="233" t="s">
        <v>81</v>
      </c>
      <c r="M6" s="234"/>
      <c r="N6" s="231"/>
    </row>
    <row r="7" spans="1:14" ht="51.75" customHeight="1" thickBot="1">
      <c r="A7" s="218"/>
      <c r="B7" s="221"/>
      <c r="C7" s="235"/>
      <c r="D7" s="236"/>
      <c r="E7" s="232"/>
      <c r="F7" s="235"/>
      <c r="G7" s="236"/>
      <c r="H7" s="236"/>
      <c r="I7" s="235"/>
      <c r="J7" s="236"/>
      <c r="K7" s="232"/>
      <c r="L7" s="235"/>
      <c r="M7" s="236"/>
      <c r="N7" s="232"/>
    </row>
    <row r="8" spans="1:14" ht="15" customHeight="1">
      <c r="A8" s="218"/>
      <c r="B8" s="221"/>
      <c r="C8" s="237" t="s">
        <v>115</v>
      </c>
      <c r="D8" s="239" t="s">
        <v>109</v>
      </c>
      <c r="E8" s="231" t="s">
        <v>110</v>
      </c>
      <c r="F8" s="237" t="s">
        <v>115</v>
      </c>
      <c r="G8" s="239" t="s">
        <v>109</v>
      </c>
      <c r="H8" s="231" t="s">
        <v>110</v>
      </c>
      <c r="I8" s="237" t="s">
        <v>115</v>
      </c>
      <c r="J8" s="239" t="s">
        <v>109</v>
      </c>
      <c r="K8" s="231" t="s">
        <v>110</v>
      </c>
      <c r="L8" s="237" t="s">
        <v>115</v>
      </c>
      <c r="M8" s="239" t="s">
        <v>109</v>
      </c>
      <c r="N8" s="231" t="s">
        <v>110</v>
      </c>
    </row>
    <row r="9" spans="1:14" ht="44.25" customHeight="1" thickBot="1">
      <c r="A9" s="219"/>
      <c r="B9" s="222"/>
      <c r="C9" s="238"/>
      <c r="D9" s="240"/>
      <c r="E9" s="232"/>
      <c r="F9" s="238"/>
      <c r="G9" s="240"/>
      <c r="H9" s="232"/>
      <c r="I9" s="238"/>
      <c r="J9" s="240"/>
      <c r="K9" s="232"/>
      <c r="L9" s="238"/>
      <c r="M9" s="240"/>
      <c r="N9" s="232"/>
    </row>
    <row r="10" spans="1:14" ht="16.5" thickBot="1">
      <c r="A10" s="223" t="s">
        <v>2</v>
      </c>
      <c r="B10" s="224"/>
      <c r="C10" s="32">
        <v>49</v>
      </c>
      <c r="D10" s="36">
        <f t="shared" ref="D10:E10" si="0">+C10+1</f>
        <v>50</v>
      </c>
      <c r="E10" s="31">
        <f t="shared" si="0"/>
        <v>51</v>
      </c>
      <c r="F10" s="32">
        <f t="shared" ref="F10" si="1">+E10+1</f>
        <v>52</v>
      </c>
      <c r="G10" s="36">
        <f t="shared" ref="G10" si="2">+F10+1</f>
        <v>53</v>
      </c>
      <c r="H10" s="31">
        <f t="shared" ref="H10" si="3">+G10+1</f>
        <v>54</v>
      </c>
      <c r="I10" s="32">
        <f t="shared" ref="I10" si="4">+H10+1</f>
        <v>55</v>
      </c>
      <c r="J10" s="36">
        <f t="shared" ref="J10" si="5">+I10+1</f>
        <v>56</v>
      </c>
      <c r="K10" s="31">
        <f t="shared" ref="K10" si="6">+J10+1</f>
        <v>57</v>
      </c>
      <c r="L10" s="32">
        <f t="shared" ref="L10" si="7">+K10+1</f>
        <v>58</v>
      </c>
      <c r="M10" s="36">
        <f t="shared" ref="M10" si="8">+L10+1</f>
        <v>59</v>
      </c>
      <c r="N10" s="31">
        <f t="shared" ref="N10" si="9">+M10+1</f>
        <v>60</v>
      </c>
    </row>
    <row r="11" spans="1:14" ht="15.75">
      <c r="A11" s="1">
        <v>1</v>
      </c>
      <c r="B11" s="21" t="s">
        <v>3</v>
      </c>
      <c r="C11" s="37">
        <f>140121+699+6518+1271+338</f>
        <v>148947</v>
      </c>
      <c r="D11" s="37">
        <f>91+397-377+50</f>
        <v>161</v>
      </c>
      <c r="E11" s="153">
        <f>SUM(C11:D11)</f>
        <v>149108</v>
      </c>
      <c r="F11" s="37">
        <f>35188+2277-124+160</f>
        <v>37501</v>
      </c>
      <c r="G11" s="37">
        <v>1054</v>
      </c>
      <c r="H11" s="153">
        <f>SUM(F11:G11)</f>
        <v>38555</v>
      </c>
      <c r="I11" s="37">
        <f>58504+3311-123+130</f>
        <v>61822</v>
      </c>
      <c r="J11" s="37">
        <f>96-1486</f>
        <v>-1390</v>
      </c>
      <c r="K11" s="153">
        <f>SUM(I11:J11)</f>
        <v>60432</v>
      </c>
      <c r="L11" s="33">
        <f>C11+F11+I11</f>
        <v>248270</v>
      </c>
      <c r="M11" s="37">
        <f>D11+G11+J11</f>
        <v>-175</v>
      </c>
      <c r="N11" s="154">
        <f>E11+H11+K11</f>
        <v>248095</v>
      </c>
    </row>
    <row r="12" spans="1:14" ht="15.75">
      <c r="A12" s="2">
        <v>2</v>
      </c>
      <c r="B12" s="15" t="s">
        <v>4</v>
      </c>
      <c r="C12" s="38">
        <f>36350+1752+344+81</f>
        <v>38527</v>
      </c>
      <c r="D12" s="38">
        <f>25+107+377+14</f>
        <v>523</v>
      </c>
      <c r="E12" s="154">
        <f t="shared" ref="E12:E64" si="10">SUM(C12:D12)</f>
        <v>39050</v>
      </c>
      <c r="F12" s="38">
        <f>9400+615-31+38</f>
        <v>10022</v>
      </c>
      <c r="G12" s="38">
        <v>700</v>
      </c>
      <c r="H12" s="154">
        <f t="shared" ref="H12:H64" si="11">SUM(F12:G12)</f>
        <v>10722</v>
      </c>
      <c r="I12" s="38">
        <f>14853+894-31+31</f>
        <v>15747</v>
      </c>
      <c r="J12" s="38">
        <f>26+680</f>
        <v>706</v>
      </c>
      <c r="K12" s="154">
        <f t="shared" ref="K12:K64" si="12">SUM(I12:J12)</f>
        <v>16453</v>
      </c>
      <c r="L12" s="53">
        <f t="shared" ref="L12:M14" si="13">C12+F12+I12</f>
        <v>64296</v>
      </c>
      <c r="M12" s="38">
        <f t="shared" si="13"/>
        <v>1929</v>
      </c>
      <c r="N12" s="154">
        <f t="shared" ref="N12:N64" si="14">E12+H12+K12</f>
        <v>66225</v>
      </c>
    </row>
    <row r="13" spans="1:14" ht="15.75">
      <c r="A13" s="2">
        <v>3</v>
      </c>
      <c r="B13" s="22" t="s">
        <v>5</v>
      </c>
      <c r="C13" s="38">
        <f>39399+2447-1645+137</f>
        <v>40338</v>
      </c>
      <c r="D13" s="38">
        <f>-20+1941</f>
        <v>1921</v>
      </c>
      <c r="E13" s="154">
        <f t="shared" si="10"/>
        <v>42259</v>
      </c>
      <c r="F13" s="38">
        <f>14085+849-10+4471</f>
        <v>19395</v>
      </c>
      <c r="G13" s="38">
        <f>-1756+1641</f>
        <v>-115</v>
      </c>
      <c r="H13" s="154">
        <f t="shared" si="11"/>
        <v>19280</v>
      </c>
      <c r="I13" s="38">
        <f>21722+1683+40</f>
        <v>23445</v>
      </c>
      <c r="J13" s="38">
        <f>50+2104</f>
        <v>2154</v>
      </c>
      <c r="K13" s="154">
        <f t="shared" si="12"/>
        <v>25599</v>
      </c>
      <c r="L13" s="53">
        <f t="shared" si="13"/>
        <v>83178</v>
      </c>
      <c r="M13" s="38">
        <f t="shared" si="13"/>
        <v>3960</v>
      </c>
      <c r="N13" s="154">
        <f t="shared" si="14"/>
        <v>87138</v>
      </c>
    </row>
    <row r="14" spans="1:14" ht="15.75">
      <c r="A14" s="3">
        <v>4</v>
      </c>
      <c r="B14" s="23" t="s">
        <v>6</v>
      </c>
      <c r="C14" s="38">
        <f>648-80</f>
        <v>568</v>
      </c>
      <c r="D14" s="38">
        <v>2135</v>
      </c>
      <c r="E14" s="154">
        <f t="shared" si="10"/>
        <v>2703</v>
      </c>
      <c r="F14" s="38">
        <v>222</v>
      </c>
      <c r="G14" s="38">
        <v>2</v>
      </c>
      <c r="H14" s="154">
        <f t="shared" si="11"/>
        <v>224</v>
      </c>
      <c r="I14" s="38">
        <v>388</v>
      </c>
      <c r="J14" s="38">
        <v>756</v>
      </c>
      <c r="K14" s="154">
        <f t="shared" si="12"/>
        <v>1144</v>
      </c>
      <c r="L14" s="54">
        <f t="shared" si="13"/>
        <v>1178</v>
      </c>
      <c r="M14" s="38">
        <f t="shared" si="13"/>
        <v>2893</v>
      </c>
      <c r="N14" s="154">
        <f t="shared" si="14"/>
        <v>4071</v>
      </c>
    </row>
    <row r="15" spans="1:14" ht="15.75">
      <c r="A15" s="2">
        <v>5</v>
      </c>
      <c r="B15" s="24" t="s">
        <v>7</v>
      </c>
      <c r="C15" s="38">
        <f t="shared" ref="C15" si="15">SUM(C13:C14)</f>
        <v>40906</v>
      </c>
      <c r="D15" s="38">
        <f t="shared" ref="D15:M15" si="16">SUM(D13:D14)</f>
        <v>4056</v>
      </c>
      <c r="E15" s="154">
        <f t="shared" si="10"/>
        <v>44962</v>
      </c>
      <c r="F15" s="38">
        <f t="shared" ref="F15" si="17">SUM(F13:F14)</f>
        <v>19617</v>
      </c>
      <c r="G15" s="38">
        <f t="shared" si="16"/>
        <v>-113</v>
      </c>
      <c r="H15" s="154">
        <f t="shared" si="11"/>
        <v>19504</v>
      </c>
      <c r="I15" s="38">
        <f t="shared" ref="I15" si="18">SUM(I13:I14)</f>
        <v>23833</v>
      </c>
      <c r="J15" s="38">
        <f t="shared" si="16"/>
        <v>2910</v>
      </c>
      <c r="K15" s="154">
        <f t="shared" si="12"/>
        <v>26743</v>
      </c>
      <c r="L15" s="34">
        <f t="shared" si="16"/>
        <v>84356</v>
      </c>
      <c r="M15" s="38">
        <f t="shared" si="16"/>
        <v>6853</v>
      </c>
      <c r="N15" s="154">
        <f t="shared" si="14"/>
        <v>91209</v>
      </c>
    </row>
    <row r="16" spans="1:14" ht="16.5" thickBot="1">
      <c r="A16" s="4">
        <v>6</v>
      </c>
      <c r="B16" s="16" t="s">
        <v>8</v>
      </c>
      <c r="C16" s="43">
        <f>13712+1346</f>
        <v>15058</v>
      </c>
      <c r="D16" s="43"/>
      <c r="E16" s="155">
        <f t="shared" si="10"/>
        <v>15058</v>
      </c>
      <c r="F16" s="43">
        <f>7638+582</f>
        <v>8220</v>
      </c>
      <c r="G16" s="43"/>
      <c r="H16" s="155">
        <f t="shared" si="11"/>
        <v>8220</v>
      </c>
      <c r="I16" s="43">
        <f>14922+1225</f>
        <v>16147</v>
      </c>
      <c r="J16" s="43"/>
      <c r="K16" s="155">
        <f t="shared" si="12"/>
        <v>16147</v>
      </c>
      <c r="L16" s="42">
        <f>C16+F16+I16</f>
        <v>39425</v>
      </c>
      <c r="M16" s="43">
        <f>D16+G16+J16</f>
        <v>0</v>
      </c>
      <c r="N16" s="155">
        <f t="shared" si="14"/>
        <v>39425</v>
      </c>
    </row>
    <row r="17" spans="1:14" ht="16.5" thickBot="1">
      <c r="A17" s="5">
        <v>7</v>
      </c>
      <c r="B17" s="20" t="s">
        <v>9</v>
      </c>
      <c r="C17" s="41">
        <f t="shared" ref="C17" si="19">SUM(C11:C12,C15)</f>
        <v>228380</v>
      </c>
      <c r="D17" s="41">
        <f t="shared" ref="D17:M17" si="20">SUM(D11:D12,D15)</f>
        <v>4740</v>
      </c>
      <c r="E17" s="156">
        <f t="shared" si="10"/>
        <v>233120</v>
      </c>
      <c r="F17" s="41">
        <f t="shared" ref="F17" si="21">SUM(F11:F12,F15)</f>
        <v>67140</v>
      </c>
      <c r="G17" s="41">
        <f t="shared" si="20"/>
        <v>1641</v>
      </c>
      <c r="H17" s="156">
        <f t="shared" si="11"/>
        <v>68781</v>
      </c>
      <c r="I17" s="41">
        <f t="shared" ref="I17" si="22">SUM(I11:I12,I15)</f>
        <v>101402</v>
      </c>
      <c r="J17" s="41">
        <f t="shared" si="20"/>
        <v>2226</v>
      </c>
      <c r="K17" s="156">
        <f t="shared" si="12"/>
        <v>103628</v>
      </c>
      <c r="L17" s="40">
        <f t="shared" si="20"/>
        <v>396922</v>
      </c>
      <c r="M17" s="41">
        <f t="shared" si="20"/>
        <v>8607</v>
      </c>
      <c r="N17" s="156">
        <f t="shared" si="14"/>
        <v>405529</v>
      </c>
    </row>
    <row r="18" spans="1:14" ht="15.75">
      <c r="A18" s="6">
        <v>8</v>
      </c>
      <c r="B18" s="13" t="s">
        <v>10</v>
      </c>
      <c r="C18" s="37"/>
      <c r="D18" s="37"/>
      <c r="E18" s="153">
        <f t="shared" si="10"/>
        <v>0</v>
      </c>
      <c r="F18" s="37"/>
      <c r="G18" s="37"/>
      <c r="H18" s="153">
        <f t="shared" si="11"/>
        <v>0</v>
      </c>
      <c r="I18" s="37"/>
      <c r="J18" s="37"/>
      <c r="K18" s="153">
        <f t="shared" si="12"/>
        <v>0</v>
      </c>
      <c r="L18" s="33">
        <f t="shared" ref="L18:M22" si="23">C18+F18+I18</f>
        <v>0</v>
      </c>
      <c r="M18" s="37">
        <f t="shared" si="23"/>
        <v>0</v>
      </c>
      <c r="N18" s="153">
        <f t="shared" si="14"/>
        <v>0</v>
      </c>
    </row>
    <row r="19" spans="1:14" ht="15.75">
      <c r="A19" s="2">
        <v>9</v>
      </c>
      <c r="B19" s="15" t="s">
        <v>11</v>
      </c>
      <c r="C19" s="38"/>
      <c r="D19" s="38"/>
      <c r="E19" s="154">
        <f t="shared" si="10"/>
        <v>0</v>
      </c>
      <c r="F19" s="38"/>
      <c r="G19" s="38"/>
      <c r="H19" s="154">
        <f t="shared" si="11"/>
        <v>0</v>
      </c>
      <c r="I19" s="38"/>
      <c r="J19" s="38"/>
      <c r="K19" s="154">
        <f t="shared" si="12"/>
        <v>0</v>
      </c>
      <c r="L19" s="34">
        <f t="shared" si="23"/>
        <v>0</v>
      </c>
      <c r="M19" s="38">
        <f t="shared" si="23"/>
        <v>0</v>
      </c>
      <c r="N19" s="154">
        <f t="shared" si="14"/>
        <v>0</v>
      </c>
    </row>
    <row r="20" spans="1:14" ht="15.75">
      <c r="A20" s="6">
        <v>10</v>
      </c>
      <c r="B20" s="13" t="s">
        <v>12</v>
      </c>
      <c r="C20" s="38">
        <v>664</v>
      </c>
      <c r="D20" s="38"/>
      <c r="E20" s="154">
        <f t="shared" si="10"/>
        <v>664</v>
      </c>
      <c r="F20" s="38">
        <v>1520</v>
      </c>
      <c r="G20" s="38"/>
      <c r="H20" s="154">
        <f t="shared" si="11"/>
        <v>1520</v>
      </c>
      <c r="I20" s="38">
        <v>2528</v>
      </c>
      <c r="J20" s="38"/>
      <c r="K20" s="154">
        <f t="shared" si="12"/>
        <v>2528</v>
      </c>
      <c r="L20" s="34">
        <f t="shared" si="23"/>
        <v>4712</v>
      </c>
      <c r="M20" s="38">
        <f t="shared" si="23"/>
        <v>0</v>
      </c>
      <c r="N20" s="154">
        <f t="shared" si="14"/>
        <v>4712</v>
      </c>
    </row>
    <row r="21" spans="1:14" ht="15.75">
      <c r="A21" s="2">
        <v>11</v>
      </c>
      <c r="B21" s="25" t="s">
        <v>116</v>
      </c>
      <c r="C21" s="38"/>
      <c r="D21" s="38"/>
      <c r="E21" s="154">
        <f t="shared" si="10"/>
        <v>0</v>
      </c>
      <c r="F21" s="38"/>
      <c r="G21" s="38"/>
      <c r="H21" s="154">
        <f t="shared" si="11"/>
        <v>0</v>
      </c>
      <c r="I21" s="38"/>
      <c r="J21" s="38"/>
      <c r="K21" s="154">
        <f t="shared" si="12"/>
        <v>0</v>
      </c>
      <c r="L21" s="34">
        <f t="shared" si="23"/>
        <v>0</v>
      </c>
      <c r="M21" s="38">
        <f t="shared" si="23"/>
        <v>0</v>
      </c>
      <c r="N21" s="154">
        <f t="shared" si="14"/>
        <v>0</v>
      </c>
    </row>
    <row r="22" spans="1:14" ht="16.5" thickBot="1">
      <c r="A22" s="1">
        <v>12</v>
      </c>
      <c r="B22" s="26" t="s">
        <v>117</v>
      </c>
      <c r="C22" s="39"/>
      <c r="D22" s="39"/>
      <c r="E22" s="157">
        <f t="shared" si="10"/>
        <v>0</v>
      </c>
      <c r="F22" s="39"/>
      <c r="G22" s="39"/>
      <c r="H22" s="157">
        <f t="shared" si="11"/>
        <v>0</v>
      </c>
      <c r="I22" s="39"/>
      <c r="J22" s="39"/>
      <c r="K22" s="157">
        <f t="shared" si="12"/>
        <v>0</v>
      </c>
      <c r="L22" s="35">
        <f t="shared" si="23"/>
        <v>0</v>
      </c>
      <c r="M22" s="39">
        <f t="shared" si="23"/>
        <v>0</v>
      </c>
      <c r="N22" s="157">
        <f t="shared" si="14"/>
        <v>0</v>
      </c>
    </row>
    <row r="23" spans="1:14" ht="16.5" thickBot="1">
      <c r="A23" s="5">
        <v>13</v>
      </c>
      <c r="B23" s="27" t="s">
        <v>13</v>
      </c>
      <c r="C23" s="41">
        <f t="shared" ref="C23" si="24">SUM(C18:C22)</f>
        <v>664</v>
      </c>
      <c r="D23" s="41">
        <f t="shared" ref="D23:M23" si="25">SUM(D18:D22)</f>
        <v>0</v>
      </c>
      <c r="E23" s="156">
        <f t="shared" si="10"/>
        <v>664</v>
      </c>
      <c r="F23" s="41">
        <f t="shared" ref="F23" si="26">SUM(F18:F22)</f>
        <v>1520</v>
      </c>
      <c r="G23" s="41">
        <f t="shared" si="25"/>
        <v>0</v>
      </c>
      <c r="H23" s="156">
        <f t="shared" si="11"/>
        <v>1520</v>
      </c>
      <c r="I23" s="41">
        <f t="shared" ref="I23" si="27">SUM(I18:I22)</f>
        <v>2528</v>
      </c>
      <c r="J23" s="41">
        <f t="shared" si="25"/>
        <v>0</v>
      </c>
      <c r="K23" s="156">
        <f t="shared" si="12"/>
        <v>2528</v>
      </c>
      <c r="L23" s="40">
        <f t="shared" si="25"/>
        <v>4712</v>
      </c>
      <c r="M23" s="41">
        <f t="shared" si="25"/>
        <v>0</v>
      </c>
      <c r="N23" s="156">
        <f t="shared" si="14"/>
        <v>4712</v>
      </c>
    </row>
    <row r="24" spans="1:14" ht="15.75">
      <c r="A24" s="6">
        <v>14</v>
      </c>
      <c r="B24" s="13" t="s">
        <v>14</v>
      </c>
      <c r="C24" s="37"/>
      <c r="D24" s="37"/>
      <c r="E24" s="153">
        <f t="shared" si="10"/>
        <v>0</v>
      </c>
      <c r="F24" s="37"/>
      <c r="G24" s="37"/>
      <c r="H24" s="153">
        <f t="shared" si="11"/>
        <v>0</v>
      </c>
      <c r="I24" s="37"/>
      <c r="J24" s="37"/>
      <c r="K24" s="153">
        <f t="shared" si="12"/>
        <v>0</v>
      </c>
      <c r="L24" s="33">
        <f t="shared" ref="L24:M30" si="28">C24+F24+I24</f>
        <v>0</v>
      </c>
      <c r="M24" s="37">
        <f t="shared" si="28"/>
        <v>0</v>
      </c>
      <c r="N24" s="153">
        <f t="shared" si="14"/>
        <v>0</v>
      </c>
    </row>
    <row r="25" spans="1:14" ht="15.75">
      <c r="A25" s="2">
        <v>15</v>
      </c>
      <c r="B25" s="15" t="s">
        <v>15</v>
      </c>
      <c r="C25" s="38"/>
      <c r="D25" s="38"/>
      <c r="E25" s="154">
        <f t="shared" si="10"/>
        <v>0</v>
      </c>
      <c r="F25" s="38"/>
      <c r="G25" s="38"/>
      <c r="H25" s="154">
        <f t="shared" si="11"/>
        <v>0</v>
      </c>
      <c r="I25" s="38"/>
      <c r="J25" s="38"/>
      <c r="K25" s="154">
        <f t="shared" si="12"/>
        <v>0</v>
      </c>
      <c r="L25" s="34">
        <f t="shared" si="28"/>
        <v>0</v>
      </c>
      <c r="M25" s="38">
        <f t="shared" si="28"/>
        <v>0</v>
      </c>
      <c r="N25" s="154">
        <f t="shared" si="14"/>
        <v>0</v>
      </c>
    </row>
    <row r="26" spans="1:14" ht="15.75">
      <c r="A26" s="6">
        <v>16</v>
      </c>
      <c r="B26" s="13" t="s">
        <v>16</v>
      </c>
      <c r="C26" s="38"/>
      <c r="D26" s="38"/>
      <c r="E26" s="154">
        <f t="shared" si="10"/>
        <v>0</v>
      </c>
      <c r="F26" s="38"/>
      <c r="G26" s="38"/>
      <c r="H26" s="154">
        <f t="shared" si="11"/>
        <v>0</v>
      </c>
      <c r="I26" s="38"/>
      <c r="J26" s="38"/>
      <c r="K26" s="154">
        <f t="shared" si="12"/>
        <v>0</v>
      </c>
      <c r="L26" s="34">
        <f t="shared" si="28"/>
        <v>0</v>
      </c>
      <c r="M26" s="38">
        <f t="shared" si="28"/>
        <v>0</v>
      </c>
      <c r="N26" s="154">
        <f t="shared" si="14"/>
        <v>0</v>
      </c>
    </row>
    <row r="27" spans="1:14" ht="15.75">
      <c r="A27" s="2">
        <v>17</v>
      </c>
      <c r="B27" s="28" t="s">
        <v>17</v>
      </c>
      <c r="C27" s="38">
        <f>63+253+4298</f>
        <v>4614</v>
      </c>
      <c r="D27" s="38">
        <f>23+358+137</f>
        <v>518</v>
      </c>
      <c r="E27" s="154">
        <f t="shared" si="10"/>
        <v>5132</v>
      </c>
      <c r="F27" s="38">
        <v>120</v>
      </c>
      <c r="G27" s="38">
        <v>80</v>
      </c>
      <c r="H27" s="154">
        <f t="shared" si="11"/>
        <v>200</v>
      </c>
      <c r="I27" s="38"/>
      <c r="J27" s="38">
        <v>138</v>
      </c>
      <c r="K27" s="154">
        <f t="shared" si="12"/>
        <v>138</v>
      </c>
      <c r="L27" s="34">
        <f t="shared" si="28"/>
        <v>4734</v>
      </c>
      <c r="M27" s="38">
        <f t="shared" si="28"/>
        <v>736</v>
      </c>
      <c r="N27" s="154">
        <f t="shared" si="14"/>
        <v>5470</v>
      </c>
    </row>
    <row r="28" spans="1:14" ht="16.5" thickBot="1">
      <c r="A28" s="8">
        <v>18</v>
      </c>
      <c r="B28" s="29" t="s">
        <v>18</v>
      </c>
      <c r="C28" s="39">
        <f>3515+6927+2076</f>
        <v>12518</v>
      </c>
      <c r="D28" s="39"/>
      <c r="E28" s="157">
        <f t="shared" si="10"/>
        <v>12518</v>
      </c>
      <c r="F28" s="39"/>
      <c r="G28" s="39"/>
      <c r="H28" s="157">
        <f t="shared" si="11"/>
        <v>0</v>
      </c>
      <c r="I28" s="39"/>
      <c r="J28" s="39"/>
      <c r="K28" s="157">
        <f t="shared" si="12"/>
        <v>0</v>
      </c>
      <c r="L28" s="35">
        <f t="shared" si="28"/>
        <v>12518</v>
      </c>
      <c r="M28" s="39">
        <f t="shared" si="28"/>
        <v>0</v>
      </c>
      <c r="N28" s="157">
        <f t="shared" si="14"/>
        <v>12518</v>
      </c>
    </row>
    <row r="29" spans="1:14" ht="15.75">
      <c r="A29" s="6">
        <v>19</v>
      </c>
      <c r="B29" s="13" t="s">
        <v>19</v>
      </c>
      <c r="C29" s="37">
        <f>6927-6927+563</f>
        <v>563</v>
      </c>
      <c r="D29" s="37">
        <v>20</v>
      </c>
      <c r="E29" s="153">
        <f t="shared" si="10"/>
        <v>583</v>
      </c>
      <c r="F29" s="37"/>
      <c r="G29" s="37"/>
      <c r="H29" s="153">
        <f t="shared" si="11"/>
        <v>0</v>
      </c>
      <c r="I29" s="37"/>
      <c r="J29" s="37"/>
      <c r="K29" s="153">
        <f t="shared" si="12"/>
        <v>0</v>
      </c>
      <c r="L29" s="33">
        <f t="shared" si="28"/>
        <v>563</v>
      </c>
      <c r="M29" s="37">
        <f t="shared" si="28"/>
        <v>20</v>
      </c>
      <c r="N29" s="153">
        <f t="shared" si="14"/>
        <v>583</v>
      </c>
    </row>
    <row r="30" spans="1:14" ht="16.5" thickBot="1">
      <c r="A30" s="3">
        <v>20</v>
      </c>
      <c r="B30" s="24" t="s">
        <v>20</v>
      </c>
      <c r="C30" s="39"/>
      <c r="D30" s="39"/>
      <c r="E30" s="157">
        <f t="shared" si="10"/>
        <v>0</v>
      </c>
      <c r="F30" s="39"/>
      <c r="G30" s="39"/>
      <c r="H30" s="157">
        <f t="shared" si="11"/>
        <v>0</v>
      </c>
      <c r="I30" s="39"/>
      <c r="J30" s="39"/>
      <c r="K30" s="157">
        <f t="shared" si="12"/>
        <v>0</v>
      </c>
      <c r="L30" s="35">
        <f t="shared" si="28"/>
        <v>0</v>
      </c>
      <c r="M30" s="39">
        <f t="shared" si="28"/>
        <v>0</v>
      </c>
      <c r="N30" s="157">
        <f t="shared" si="14"/>
        <v>0</v>
      </c>
    </row>
    <row r="31" spans="1:14" ht="16.5" thickBot="1">
      <c r="A31" s="5">
        <v>21</v>
      </c>
      <c r="B31" s="20" t="s">
        <v>21</v>
      </c>
      <c r="C31" s="41">
        <f t="shared" ref="C31" si="29">SUM(C29:C30)</f>
        <v>563</v>
      </c>
      <c r="D31" s="41">
        <f t="shared" ref="D31:M31" si="30">SUM(D29:D30)</f>
        <v>20</v>
      </c>
      <c r="E31" s="156">
        <f t="shared" si="10"/>
        <v>583</v>
      </c>
      <c r="F31" s="41">
        <f t="shared" ref="F31" si="31">SUM(F29:F30)</f>
        <v>0</v>
      </c>
      <c r="G31" s="41">
        <f t="shared" si="30"/>
        <v>0</v>
      </c>
      <c r="H31" s="156">
        <f t="shared" si="11"/>
        <v>0</v>
      </c>
      <c r="I31" s="41">
        <f t="shared" ref="I31" si="32">SUM(I29:I30)</f>
        <v>0</v>
      </c>
      <c r="J31" s="41">
        <f t="shared" si="30"/>
        <v>0</v>
      </c>
      <c r="K31" s="156">
        <f t="shared" si="12"/>
        <v>0</v>
      </c>
      <c r="L31" s="40">
        <f t="shared" si="30"/>
        <v>563</v>
      </c>
      <c r="M31" s="41">
        <f t="shared" si="30"/>
        <v>20</v>
      </c>
      <c r="N31" s="156">
        <f t="shared" si="14"/>
        <v>583</v>
      </c>
    </row>
    <row r="32" spans="1:14" ht="15.75">
      <c r="A32" s="3">
        <v>22</v>
      </c>
      <c r="B32" s="24" t="s">
        <v>22</v>
      </c>
      <c r="C32" s="37"/>
      <c r="D32" s="37"/>
      <c r="E32" s="153">
        <f t="shared" si="10"/>
        <v>0</v>
      </c>
      <c r="F32" s="37"/>
      <c r="G32" s="37"/>
      <c r="H32" s="153">
        <f t="shared" si="11"/>
        <v>0</v>
      </c>
      <c r="I32" s="37"/>
      <c r="J32" s="37"/>
      <c r="K32" s="153">
        <f t="shared" si="12"/>
        <v>0</v>
      </c>
      <c r="L32" s="33">
        <f t="shared" ref="L32:M35" si="33">C32+F32+I32</f>
        <v>0</v>
      </c>
      <c r="M32" s="37">
        <f t="shared" si="33"/>
        <v>0</v>
      </c>
      <c r="N32" s="153">
        <f t="shared" si="14"/>
        <v>0</v>
      </c>
    </row>
    <row r="33" spans="1:14" ht="15.75">
      <c r="A33" s="2">
        <v>23</v>
      </c>
      <c r="B33" s="15" t="s">
        <v>23</v>
      </c>
      <c r="C33" s="38"/>
      <c r="D33" s="38"/>
      <c r="E33" s="154">
        <f t="shared" si="10"/>
        <v>0</v>
      </c>
      <c r="F33" s="38"/>
      <c r="G33" s="38"/>
      <c r="H33" s="154">
        <f t="shared" si="11"/>
        <v>0</v>
      </c>
      <c r="I33" s="38"/>
      <c r="J33" s="38"/>
      <c r="K33" s="154">
        <f t="shared" si="12"/>
        <v>0</v>
      </c>
      <c r="L33" s="34">
        <f t="shared" si="33"/>
        <v>0</v>
      </c>
      <c r="M33" s="38">
        <f t="shared" si="33"/>
        <v>0</v>
      </c>
      <c r="N33" s="154">
        <f t="shared" si="14"/>
        <v>0</v>
      </c>
    </row>
    <row r="34" spans="1:14" ht="15.75">
      <c r="A34" s="6">
        <v>24</v>
      </c>
      <c r="B34" s="13" t="s">
        <v>24</v>
      </c>
      <c r="C34" s="38"/>
      <c r="D34" s="38"/>
      <c r="E34" s="154">
        <f t="shared" si="10"/>
        <v>0</v>
      </c>
      <c r="F34" s="38"/>
      <c r="G34" s="38"/>
      <c r="H34" s="154">
        <f t="shared" si="11"/>
        <v>0</v>
      </c>
      <c r="I34" s="38"/>
      <c r="J34" s="38"/>
      <c r="K34" s="154">
        <f t="shared" si="12"/>
        <v>0</v>
      </c>
      <c r="L34" s="34">
        <f t="shared" si="33"/>
        <v>0</v>
      </c>
      <c r="M34" s="38">
        <f t="shared" si="33"/>
        <v>0</v>
      </c>
      <c r="N34" s="154">
        <f t="shared" si="14"/>
        <v>0</v>
      </c>
    </row>
    <row r="35" spans="1:14" ht="16.5" thickBot="1">
      <c r="A35" s="2">
        <v>25</v>
      </c>
      <c r="B35" s="15" t="s">
        <v>25</v>
      </c>
      <c r="C35" s="39"/>
      <c r="D35" s="39"/>
      <c r="E35" s="157">
        <f t="shared" si="10"/>
        <v>0</v>
      </c>
      <c r="F35" s="39"/>
      <c r="G35" s="39"/>
      <c r="H35" s="157">
        <f t="shared" si="11"/>
        <v>0</v>
      </c>
      <c r="I35" s="39"/>
      <c r="J35" s="39"/>
      <c r="K35" s="157">
        <f t="shared" si="12"/>
        <v>0</v>
      </c>
      <c r="L35" s="35">
        <f t="shared" si="33"/>
        <v>0</v>
      </c>
      <c r="M35" s="39">
        <f t="shared" si="33"/>
        <v>0</v>
      </c>
      <c r="N35" s="157">
        <f t="shared" si="14"/>
        <v>0</v>
      </c>
    </row>
    <row r="36" spans="1:14" ht="16.5" thickBot="1">
      <c r="A36" s="5">
        <v>26</v>
      </c>
      <c r="B36" s="20" t="s">
        <v>45</v>
      </c>
      <c r="C36" s="41">
        <f t="shared" ref="C36" si="34">SUM(C17,C23,C24:C28,C31,C32:C35)</f>
        <v>246739</v>
      </c>
      <c r="D36" s="41">
        <f t="shared" ref="D36:M36" si="35">SUM(D17,D23,D24:D28,D31,D32:D35)</f>
        <v>5278</v>
      </c>
      <c r="E36" s="156">
        <f t="shared" si="10"/>
        <v>252017</v>
      </c>
      <c r="F36" s="41">
        <f t="shared" ref="F36" si="36">SUM(F17,F23,F24:F28,F31,F32:F35)</f>
        <v>68780</v>
      </c>
      <c r="G36" s="41">
        <f t="shared" si="35"/>
        <v>1721</v>
      </c>
      <c r="H36" s="156">
        <f t="shared" si="11"/>
        <v>70501</v>
      </c>
      <c r="I36" s="41">
        <f t="shared" ref="I36" si="37">SUM(I17,I23,I24:I28,I31,I32:I35)</f>
        <v>103930</v>
      </c>
      <c r="J36" s="41">
        <f t="shared" si="35"/>
        <v>2364</v>
      </c>
      <c r="K36" s="156">
        <f t="shared" si="12"/>
        <v>106294</v>
      </c>
      <c r="L36" s="40">
        <f t="shared" si="35"/>
        <v>419449</v>
      </c>
      <c r="M36" s="41">
        <f t="shared" si="35"/>
        <v>9363</v>
      </c>
      <c r="N36" s="156">
        <f t="shared" si="14"/>
        <v>428812</v>
      </c>
    </row>
    <row r="37" spans="1:14" ht="15.75">
      <c r="A37" s="7">
        <v>27</v>
      </c>
      <c r="B37" s="30" t="s">
        <v>46</v>
      </c>
      <c r="C37" s="37"/>
      <c r="D37" s="37"/>
      <c r="E37" s="153">
        <f t="shared" si="10"/>
        <v>0</v>
      </c>
      <c r="F37" s="37"/>
      <c r="G37" s="37"/>
      <c r="H37" s="153">
        <f t="shared" si="11"/>
        <v>0</v>
      </c>
      <c r="I37" s="37"/>
      <c r="J37" s="37"/>
      <c r="K37" s="153">
        <f t="shared" si="12"/>
        <v>0</v>
      </c>
      <c r="L37" s="33">
        <f t="shared" ref="L37:M39" si="38">C37+F37+I37</f>
        <v>0</v>
      </c>
      <c r="M37" s="37">
        <f t="shared" si="38"/>
        <v>0</v>
      </c>
      <c r="N37" s="153">
        <f t="shared" si="14"/>
        <v>0</v>
      </c>
    </row>
    <row r="38" spans="1:14" ht="15.75">
      <c r="A38" s="6">
        <v>28</v>
      </c>
      <c r="B38" s="13" t="s">
        <v>26</v>
      </c>
      <c r="C38" s="38"/>
      <c r="D38" s="38"/>
      <c r="E38" s="154">
        <f t="shared" si="10"/>
        <v>0</v>
      </c>
      <c r="F38" s="38"/>
      <c r="G38" s="38"/>
      <c r="H38" s="154">
        <f t="shared" si="11"/>
        <v>0</v>
      </c>
      <c r="I38" s="38"/>
      <c r="J38" s="38"/>
      <c r="K38" s="154">
        <f t="shared" si="12"/>
        <v>0</v>
      </c>
      <c r="L38" s="34">
        <f t="shared" si="38"/>
        <v>0</v>
      </c>
      <c r="M38" s="38">
        <f t="shared" si="38"/>
        <v>0</v>
      </c>
      <c r="N38" s="154">
        <f t="shared" si="14"/>
        <v>0</v>
      </c>
    </row>
    <row r="39" spans="1:14" ht="16.5" thickBot="1">
      <c r="A39" s="3">
        <v>29</v>
      </c>
      <c r="B39" s="24" t="s">
        <v>27</v>
      </c>
      <c r="C39" s="39"/>
      <c r="D39" s="39"/>
      <c r="E39" s="157">
        <f t="shared" si="10"/>
        <v>0</v>
      </c>
      <c r="F39" s="39"/>
      <c r="G39" s="39"/>
      <c r="H39" s="157">
        <f t="shared" si="11"/>
        <v>0</v>
      </c>
      <c r="I39" s="39"/>
      <c r="J39" s="39"/>
      <c r="K39" s="157">
        <f t="shared" si="12"/>
        <v>0</v>
      </c>
      <c r="L39" s="35">
        <f t="shared" si="38"/>
        <v>0</v>
      </c>
      <c r="M39" s="39">
        <f t="shared" si="38"/>
        <v>0</v>
      </c>
      <c r="N39" s="157">
        <f t="shared" si="14"/>
        <v>0</v>
      </c>
    </row>
    <row r="40" spans="1:14" ht="16.5" thickBot="1">
      <c r="A40" s="5">
        <v>30</v>
      </c>
      <c r="B40" s="20" t="s">
        <v>47</v>
      </c>
      <c r="C40" s="41">
        <f t="shared" ref="C40" si="39">SUM(C37:C39)</f>
        <v>0</v>
      </c>
      <c r="D40" s="41">
        <f t="shared" ref="D40:M40" si="40">SUM(D37:D39)</f>
        <v>0</v>
      </c>
      <c r="E40" s="156">
        <f t="shared" si="10"/>
        <v>0</v>
      </c>
      <c r="F40" s="41">
        <f t="shared" ref="F40" si="41">SUM(F37:F39)</f>
        <v>0</v>
      </c>
      <c r="G40" s="41">
        <f t="shared" si="40"/>
        <v>0</v>
      </c>
      <c r="H40" s="156">
        <f t="shared" si="11"/>
        <v>0</v>
      </c>
      <c r="I40" s="41">
        <f t="shared" ref="I40" si="42">SUM(I37:I39)</f>
        <v>0</v>
      </c>
      <c r="J40" s="41">
        <f t="shared" si="40"/>
        <v>0</v>
      </c>
      <c r="K40" s="156">
        <f t="shared" si="12"/>
        <v>0</v>
      </c>
      <c r="L40" s="40">
        <f t="shared" si="40"/>
        <v>0</v>
      </c>
      <c r="M40" s="41">
        <f t="shared" si="40"/>
        <v>0</v>
      </c>
      <c r="N40" s="156">
        <f t="shared" si="14"/>
        <v>0</v>
      </c>
    </row>
    <row r="41" spans="1:14" ht="16.5" thickBot="1">
      <c r="A41" s="225" t="s">
        <v>48</v>
      </c>
      <c r="B41" s="226"/>
      <c r="C41" s="45">
        <f t="shared" ref="C41" si="43">SUM(C36,C40)</f>
        <v>246739</v>
      </c>
      <c r="D41" s="45">
        <f t="shared" ref="D41:M41" si="44">SUM(D36,D40)</f>
        <v>5278</v>
      </c>
      <c r="E41" s="158">
        <f t="shared" si="10"/>
        <v>252017</v>
      </c>
      <c r="F41" s="45">
        <f t="shared" ref="F41" si="45">SUM(F36,F40)</f>
        <v>68780</v>
      </c>
      <c r="G41" s="45">
        <f t="shared" si="44"/>
        <v>1721</v>
      </c>
      <c r="H41" s="158">
        <f t="shared" si="11"/>
        <v>70501</v>
      </c>
      <c r="I41" s="45">
        <f t="shared" ref="I41" si="46">SUM(I36,I40)</f>
        <v>103930</v>
      </c>
      <c r="J41" s="45">
        <f t="shared" si="44"/>
        <v>2364</v>
      </c>
      <c r="K41" s="158">
        <f t="shared" si="12"/>
        <v>106294</v>
      </c>
      <c r="L41" s="44">
        <f t="shared" si="44"/>
        <v>419449</v>
      </c>
      <c r="M41" s="45">
        <f t="shared" si="44"/>
        <v>9363</v>
      </c>
      <c r="N41" s="158">
        <f t="shared" si="14"/>
        <v>428812</v>
      </c>
    </row>
    <row r="42" spans="1:14" ht="29.25" customHeight="1" thickTop="1" thickBot="1">
      <c r="A42" s="227" t="s">
        <v>28</v>
      </c>
      <c r="B42" s="228"/>
      <c r="C42" s="47"/>
      <c r="D42" s="47"/>
      <c r="E42" s="159"/>
      <c r="F42" s="47"/>
      <c r="G42" s="47"/>
      <c r="H42" s="159"/>
      <c r="I42" s="47"/>
      <c r="J42" s="47"/>
      <c r="K42" s="159"/>
      <c r="L42" s="46"/>
      <c r="M42" s="47"/>
      <c r="N42" s="159"/>
    </row>
    <row r="43" spans="1:14" ht="31.5">
      <c r="A43" s="6">
        <v>31</v>
      </c>
      <c r="B43" s="12" t="s">
        <v>29</v>
      </c>
      <c r="C43" s="37">
        <f>7795+183</f>
        <v>7978</v>
      </c>
      <c r="D43" s="37">
        <v>4213</v>
      </c>
      <c r="E43" s="153">
        <f t="shared" si="10"/>
        <v>12191</v>
      </c>
      <c r="F43" s="37">
        <v>1175</v>
      </c>
      <c r="G43" s="37">
        <v>1641</v>
      </c>
      <c r="H43" s="153">
        <f t="shared" si="11"/>
        <v>2816</v>
      </c>
      <c r="I43" s="37">
        <f>3495+50</f>
        <v>3545</v>
      </c>
      <c r="J43" s="37">
        <v>2104</v>
      </c>
      <c r="K43" s="153">
        <f t="shared" si="12"/>
        <v>5649</v>
      </c>
      <c r="L43" s="33">
        <f t="shared" ref="L43:M53" si="47">C43+F43+I43</f>
        <v>12698</v>
      </c>
      <c r="M43" s="37">
        <f t="shared" si="47"/>
        <v>7958</v>
      </c>
      <c r="N43" s="153">
        <f t="shared" si="14"/>
        <v>20656</v>
      </c>
    </row>
    <row r="44" spans="1:14" ht="15.75">
      <c r="A44" s="6">
        <v>32</v>
      </c>
      <c r="B44" s="13" t="s">
        <v>30</v>
      </c>
      <c r="C44" s="38"/>
      <c r="D44" s="38"/>
      <c r="E44" s="154">
        <f t="shared" si="10"/>
        <v>0</v>
      </c>
      <c r="F44" s="38"/>
      <c r="G44" s="38"/>
      <c r="H44" s="154">
        <f t="shared" si="11"/>
        <v>0</v>
      </c>
      <c r="I44" s="38"/>
      <c r="J44" s="38"/>
      <c r="K44" s="154">
        <f t="shared" si="12"/>
        <v>0</v>
      </c>
      <c r="L44" s="34">
        <f t="shared" si="47"/>
        <v>0</v>
      </c>
      <c r="M44" s="38">
        <f t="shared" si="47"/>
        <v>0</v>
      </c>
      <c r="N44" s="154">
        <f t="shared" si="14"/>
        <v>0</v>
      </c>
    </row>
    <row r="45" spans="1:14" ht="31.5">
      <c r="A45" s="6">
        <v>33</v>
      </c>
      <c r="B45" s="14" t="s">
        <v>31</v>
      </c>
      <c r="C45" s="38"/>
      <c r="D45" s="38"/>
      <c r="E45" s="154">
        <f t="shared" si="10"/>
        <v>0</v>
      </c>
      <c r="F45" s="38"/>
      <c r="G45" s="38"/>
      <c r="H45" s="154">
        <f t="shared" si="11"/>
        <v>0</v>
      </c>
      <c r="I45" s="38"/>
      <c r="J45" s="38"/>
      <c r="K45" s="154">
        <f t="shared" si="12"/>
        <v>0</v>
      </c>
      <c r="L45" s="34">
        <f t="shared" si="47"/>
        <v>0</v>
      </c>
      <c r="M45" s="38">
        <f t="shared" si="47"/>
        <v>0</v>
      </c>
      <c r="N45" s="154">
        <f t="shared" si="14"/>
        <v>0</v>
      </c>
    </row>
    <row r="46" spans="1:14" ht="15.75">
      <c r="A46" s="6">
        <v>34</v>
      </c>
      <c r="B46" s="15" t="s">
        <v>32</v>
      </c>
      <c r="C46" s="38">
        <f>208723+540+8270-2159+4854</f>
        <v>220228</v>
      </c>
      <c r="D46" s="38">
        <f>23+358+116+504-20</f>
        <v>981</v>
      </c>
      <c r="E46" s="154">
        <f t="shared" si="10"/>
        <v>221209</v>
      </c>
      <c r="F46" s="38">
        <f>57720+160+2892-165+4789</f>
        <v>65396</v>
      </c>
      <c r="G46" s="38">
        <v>80</v>
      </c>
      <c r="H46" s="154">
        <f t="shared" si="11"/>
        <v>65476</v>
      </c>
      <c r="I46" s="38">
        <f>91972+4205-164+161</f>
        <v>96174</v>
      </c>
      <c r="J46" s="38">
        <f>138+122</f>
        <v>260</v>
      </c>
      <c r="K46" s="154">
        <f t="shared" si="12"/>
        <v>96434</v>
      </c>
      <c r="L46" s="34">
        <f t="shared" si="47"/>
        <v>381798</v>
      </c>
      <c r="M46" s="38">
        <f t="shared" si="47"/>
        <v>1321</v>
      </c>
      <c r="N46" s="154">
        <f t="shared" si="14"/>
        <v>383119</v>
      </c>
    </row>
    <row r="47" spans="1:14" ht="15.75">
      <c r="A47" s="6">
        <v>35</v>
      </c>
      <c r="B47" s="15" t="s">
        <v>33</v>
      </c>
      <c r="C47" s="38">
        <f>10442+2076+563</f>
        <v>13081</v>
      </c>
      <c r="D47" s="38">
        <v>20</v>
      </c>
      <c r="E47" s="154">
        <f t="shared" si="10"/>
        <v>13101</v>
      </c>
      <c r="F47" s="38"/>
      <c r="G47" s="38"/>
      <c r="H47" s="154">
        <f t="shared" si="11"/>
        <v>0</v>
      </c>
      <c r="I47" s="38"/>
      <c r="J47" s="38"/>
      <c r="K47" s="154">
        <f t="shared" si="12"/>
        <v>0</v>
      </c>
      <c r="L47" s="34">
        <f t="shared" si="47"/>
        <v>13081</v>
      </c>
      <c r="M47" s="38">
        <f t="shared" si="47"/>
        <v>20</v>
      </c>
      <c r="N47" s="154">
        <f t="shared" si="14"/>
        <v>13101</v>
      </c>
    </row>
    <row r="48" spans="1:14" ht="15.75">
      <c r="A48" s="6">
        <v>36</v>
      </c>
      <c r="B48" s="15" t="s">
        <v>34</v>
      </c>
      <c r="C48" s="38"/>
      <c r="D48" s="38"/>
      <c r="E48" s="154">
        <f t="shared" si="10"/>
        <v>0</v>
      </c>
      <c r="F48" s="38"/>
      <c r="G48" s="38"/>
      <c r="H48" s="154">
        <f t="shared" si="11"/>
        <v>0</v>
      </c>
      <c r="I48" s="38"/>
      <c r="J48" s="38"/>
      <c r="K48" s="154">
        <f t="shared" si="12"/>
        <v>0</v>
      </c>
      <c r="L48" s="34">
        <f t="shared" si="47"/>
        <v>0</v>
      </c>
      <c r="M48" s="38">
        <f t="shared" si="47"/>
        <v>0</v>
      </c>
      <c r="N48" s="154">
        <f t="shared" si="14"/>
        <v>0</v>
      </c>
    </row>
    <row r="49" spans="1:14" ht="15.75">
      <c r="A49" s="6">
        <v>37</v>
      </c>
      <c r="B49" s="15" t="s">
        <v>35</v>
      </c>
      <c r="C49" s="38">
        <v>2119</v>
      </c>
      <c r="D49" s="38">
        <v>64</v>
      </c>
      <c r="E49" s="154">
        <f t="shared" si="10"/>
        <v>2183</v>
      </c>
      <c r="F49" s="38"/>
      <c r="G49" s="38"/>
      <c r="H49" s="154">
        <f t="shared" si="11"/>
        <v>0</v>
      </c>
      <c r="I49" s="38"/>
      <c r="J49" s="38"/>
      <c r="K49" s="154">
        <f t="shared" si="12"/>
        <v>0</v>
      </c>
      <c r="L49" s="34">
        <f t="shared" si="47"/>
        <v>2119</v>
      </c>
      <c r="M49" s="38">
        <f t="shared" si="47"/>
        <v>64</v>
      </c>
      <c r="N49" s="154">
        <f t="shared" si="14"/>
        <v>2183</v>
      </c>
    </row>
    <row r="50" spans="1:14" ht="15.75">
      <c r="A50" s="4">
        <v>38</v>
      </c>
      <c r="B50" s="16" t="s">
        <v>36</v>
      </c>
      <c r="C50" s="49"/>
      <c r="D50" s="49"/>
      <c r="E50" s="160">
        <f t="shared" si="10"/>
        <v>0</v>
      </c>
      <c r="F50" s="49"/>
      <c r="G50" s="49"/>
      <c r="H50" s="160">
        <f t="shared" si="11"/>
        <v>0</v>
      </c>
      <c r="I50" s="49"/>
      <c r="J50" s="49"/>
      <c r="K50" s="160">
        <f t="shared" si="12"/>
        <v>0</v>
      </c>
      <c r="L50" s="48">
        <f t="shared" si="47"/>
        <v>0</v>
      </c>
      <c r="M50" s="49">
        <f t="shared" si="47"/>
        <v>0</v>
      </c>
      <c r="N50" s="160">
        <f t="shared" si="14"/>
        <v>0</v>
      </c>
    </row>
    <row r="51" spans="1:14" ht="15.75">
      <c r="A51" s="6">
        <v>39</v>
      </c>
      <c r="B51" s="15" t="s">
        <v>37</v>
      </c>
      <c r="C51" s="38"/>
      <c r="D51" s="38"/>
      <c r="E51" s="154">
        <f t="shared" si="10"/>
        <v>0</v>
      </c>
      <c r="F51" s="38"/>
      <c r="G51" s="38"/>
      <c r="H51" s="154">
        <f t="shared" si="11"/>
        <v>0</v>
      </c>
      <c r="I51" s="38"/>
      <c r="J51" s="38"/>
      <c r="K51" s="154">
        <f t="shared" si="12"/>
        <v>0</v>
      </c>
      <c r="L51" s="34">
        <f t="shared" si="47"/>
        <v>0</v>
      </c>
      <c r="M51" s="38">
        <f t="shared" si="47"/>
        <v>0</v>
      </c>
      <c r="N51" s="154">
        <f t="shared" si="14"/>
        <v>0</v>
      </c>
    </row>
    <row r="52" spans="1:14" ht="15.75">
      <c r="A52" s="6">
        <v>40</v>
      </c>
      <c r="B52" s="17" t="s">
        <v>38</v>
      </c>
      <c r="C52" s="38"/>
      <c r="D52" s="38"/>
      <c r="E52" s="154">
        <f t="shared" si="10"/>
        <v>0</v>
      </c>
      <c r="F52" s="38"/>
      <c r="G52" s="38"/>
      <c r="H52" s="154">
        <f t="shared" si="11"/>
        <v>0</v>
      </c>
      <c r="I52" s="38"/>
      <c r="J52" s="38"/>
      <c r="K52" s="154">
        <f t="shared" si="12"/>
        <v>0</v>
      </c>
      <c r="L52" s="34">
        <f t="shared" si="47"/>
        <v>0</v>
      </c>
      <c r="M52" s="38">
        <f t="shared" si="47"/>
        <v>0</v>
      </c>
      <c r="N52" s="154">
        <f t="shared" si="14"/>
        <v>0</v>
      </c>
    </row>
    <row r="53" spans="1:14" ht="16.5" thickBot="1">
      <c r="A53" s="1">
        <v>41</v>
      </c>
      <c r="B53" s="18" t="s">
        <v>39</v>
      </c>
      <c r="C53" s="39"/>
      <c r="D53" s="39"/>
      <c r="E53" s="157">
        <f t="shared" si="10"/>
        <v>0</v>
      </c>
      <c r="F53" s="39"/>
      <c r="G53" s="39"/>
      <c r="H53" s="157">
        <f t="shared" si="11"/>
        <v>0</v>
      </c>
      <c r="I53" s="39"/>
      <c r="J53" s="39"/>
      <c r="K53" s="157">
        <f t="shared" si="12"/>
        <v>0</v>
      </c>
      <c r="L53" s="35">
        <f t="shared" si="47"/>
        <v>0</v>
      </c>
      <c r="M53" s="39">
        <f t="shared" si="47"/>
        <v>0</v>
      </c>
      <c r="N53" s="157">
        <f t="shared" si="14"/>
        <v>0</v>
      </c>
    </row>
    <row r="54" spans="1:14" ht="16.5" thickBot="1">
      <c r="A54" s="5">
        <v>42</v>
      </c>
      <c r="B54" s="19" t="s">
        <v>49</v>
      </c>
      <c r="C54" s="41">
        <f t="shared" ref="C54" si="48">SUM(C46:C49,C51:C53)</f>
        <v>235428</v>
      </c>
      <c r="D54" s="41">
        <f t="shared" ref="D54:M54" si="49">SUM(D46:D49,D51:D53)</f>
        <v>1065</v>
      </c>
      <c r="E54" s="156">
        <f t="shared" si="10"/>
        <v>236493</v>
      </c>
      <c r="F54" s="41">
        <f t="shared" ref="F54" si="50">SUM(F46:F49,F51:F53)</f>
        <v>65396</v>
      </c>
      <c r="G54" s="41">
        <f t="shared" si="49"/>
        <v>80</v>
      </c>
      <c r="H54" s="156">
        <f t="shared" si="11"/>
        <v>65476</v>
      </c>
      <c r="I54" s="41">
        <f t="shared" ref="I54" si="51">SUM(I46:I49,I51:I53)</f>
        <v>96174</v>
      </c>
      <c r="J54" s="41">
        <f t="shared" si="49"/>
        <v>260</v>
      </c>
      <c r="K54" s="156">
        <f t="shared" si="12"/>
        <v>96434</v>
      </c>
      <c r="L54" s="40">
        <f t="shared" si="49"/>
        <v>396998</v>
      </c>
      <c r="M54" s="41">
        <f t="shared" si="49"/>
        <v>1405</v>
      </c>
      <c r="N54" s="156">
        <f t="shared" si="14"/>
        <v>398403</v>
      </c>
    </row>
    <row r="55" spans="1:14" ht="16.5" thickBot="1">
      <c r="A55" s="6">
        <v>43</v>
      </c>
      <c r="B55" s="13" t="s">
        <v>40</v>
      </c>
      <c r="C55" s="37"/>
      <c r="D55" s="37"/>
      <c r="E55" s="153">
        <f t="shared" si="10"/>
        <v>0</v>
      </c>
      <c r="F55" s="37"/>
      <c r="G55" s="37"/>
      <c r="H55" s="153">
        <f t="shared" si="11"/>
        <v>0</v>
      </c>
      <c r="I55" s="37"/>
      <c r="J55" s="37"/>
      <c r="K55" s="153">
        <f t="shared" si="12"/>
        <v>0</v>
      </c>
      <c r="L55" s="33">
        <f t="shared" ref="L55:M55" si="52">C55+F55+I55</f>
        <v>0</v>
      </c>
      <c r="M55" s="37">
        <f t="shared" si="52"/>
        <v>0</v>
      </c>
      <c r="N55" s="153">
        <f t="shared" si="14"/>
        <v>0</v>
      </c>
    </row>
    <row r="56" spans="1:14" ht="16.5" thickBot="1">
      <c r="A56" s="5">
        <v>44</v>
      </c>
      <c r="B56" s="20" t="s">
        <v>76</v>
      </c>
      <c r="C56" s="41">
        <f t="shared" ref="C56" si="53">SUM(C42:C44,C53,C54:C55)</f>
        <v>243406</v>
      </c>
      <c r="D56" s="41">
        <f t="shared" ref="D56:M56" si="54">SUM(D42:D44,D53,D54:D55)</f>
        <v>5278</v>
      </c>
      <c r="E56" s="156">
        <f t="shared" si="10"/>
        <v>248684</v>
      </c>
      <c r="F56" s="41">
        <f t="shared" ref="F56" si="55">SUM(F42:F44,F53,F54:F55)</f>
        <v>66571</v>
      </c>
      <c r="G56" s="41">
        <f t="shared" si="54"/>
        <v>1721</v>
      </c>
      <c r="H56" s="156">
        <f t="shared" si="11"/>
        <v>68292</v>
      </c>
      <c r="I56" s="41">
        <f t="shared" ref="I56" si="56">SUM(I42:I44,I53,I54:I55)</f>
        <v>99719</v>
      </c>
      <c r="J56" s="41">
        <f t="shared" si="54"/>
        <v>2364</v>
      </c>
      <c r="K56" s="156">
        <f t="shared" si="12"/>
        <v>102083</v>
      </c>
      <c r="L56" s="40">
        <f t="shared" si="54"/>
        <v>409696</v>
      </c>
      <c r="M56" s="41">
        <f t="shared" si="54"/>
        <v>9363</v>
      </c>
      <c r="N56" s="156">
        <f t="shared" si="14"/>
        <v>419059</v>
      </c>
    </row>
    <row r="57" spans="1:14" ht="16.5" thickBot="1">
      <c r="A57" s="212">
        <v>45</v>
      </c>
      <c r="B57" s="213" t="s">
        <v>113</v>
      </c>
      <c r="C57" s="41">
        <v>3333</v>
      </c>
      <c r="D57" s="41"/>
      <c r="E57" s="156">
        <f t="shared" si="10"/>
        <v>3333</v>
      </c>
      <c r="F57" s="41">
        <v>2209</v>
      </c>
      <c r="G57" s="41"/>
      <c r="H57" s="156">
        <f t="shared" si="11"/>
        <v>2209</v>
      </c>
      <c r="I57" s="41">
        <v>4211</v>
      </c>
      <c r="J57" s="41"/>
      <c r="K57" s="156">
        <f t="shared" si="12"/>
        <v>4211</v>
      </c>
      <c r="L57" s="40"/>
      <c r="M57" s="41"/>
      <c r="N57" s="156">
        <f t="shared" si="14"/>
        <v>9753</v>
      </c>
    </row>
    <row r="58" spans="1:14" ht="15.75">
      <c r="A58" s="6">
        <v>46</v>
      </c>
      <c r="B58" s="13" t="s">
        <v>44</v>
      </c>
      <c r="C58" s="37"/>
      <c r="D58" s="37"/>
      <c r="E58" s="153">
        <f t="shared" si="10"/>
        <v>0</v>
      </c>
      <c r="F58" s="37"/>
      <c r="G58" s="37"/>
      <c r="H58" s="153">
        <f t="shared" si="11"/>
        <v>0</v>
      </c>
      <c r="I58" s="37"/>
      <c r="J58" s="37"/>
      <c r="K58" s="153">
        <f t="shared" si="12"/>
        <v>0</v>
      </c>
      <c r="L58" s="33">
        <f t="shared" ref="L58:M60" si="57">C58+F58+I58</f>
        <v>0</v>
      </c>
      <c r="M58" s="37">
        <f t="shared" si="57"/>
        <v>0</v>
      </c>
      <c r="N58" s="153">
        <f t="shared" si="14"/>
        <v>0</v>
      </c>
    </row>
    <row r="59" spans="1:14" ht="15.75">
      <c r="A59" s="6">
        <v>47</v>
      </c>
      <c r="B59" s="15" t="s">
        <v>41</v>
      </c>
      <c r="C59" s="38"/>
      <c r="D59" s="38"/>
      <c r="E59" s="154">
        <f t="shared" si="10"/>
        <v>0</v>
      </c>
      <c r="F59" s="38"/>
      <c r="G59" s="38"/>
      <c r="H59" s="154">
        <f t="shared" si="11"/>
        <v>0</v>
      </c>
      <c r="I59" s="38"/>
      <c r="J59" s="38"/>
      <c r="K59" s="154">
        <f t="shared" si="12"/>
        <v>0</v>
      </c>
      <c r="L59" s="34">
        <f t="shared" si="57"/>
        <v>0</v>
      </c>
      <c r="M59" s="38"/>
      <c r="N59" s="154">
        <f t="shared" si="14"/>
        <v>0</v>
      </c>
    </row>
    <row r="60" spans="1:14" ht="16.5" thickBot="1">
      <c r="A60" s="6">
        <v>48</v>
      </c>
      <c r="B60" s="15" t="s">
        <v>42</v>
      </c>
      <c r="C60" s="39"/>
      <c r="D60" s="39"/>
      <c r="E60" s="157">
        <f t="shared" si="10"/>
        <v>0</v>
      </c>
      <c r="F60" s="39"/>
      <c r="G60" s="39"/>
      <c r="H60" s="157">
        <f t="shared" si="11"/>
        <v>0</v>
      </c>
      <c r="I60" s="39"/>
      <c r="J60" s="39"/>
      <c r="K60" s="157">
        <f t="shared" si="12"/>
        <v>0</v>
      </c>
      <c r="L60" s="35">
        <f t="shared" si="57"/>
        <v>0</v>
      </c>
      <c r="M60" s="39">
        <f t="shared" si="57"/>
        <v>0</v>
      </c>
      <c r="N60" s="157">
        <f t="shared" si="14"/>
        <v>0</v>
      </c>
    </row>
    <row r="61" spans="1:14" ht="16.5" thickBot="1">
      <c r="A61" s="5">
        <v>49</v>
      </c>
      <c r="B61" s="20" t="s">
        <v>50</v>
      </c>
      <c r="C61" s="41">
        <f t="shared" ref="C61" si="58">SUM(C58:C60)</f>
        <v>0</v>
      </c>
      <c r="D61" s="41">
        <f t="shared" ref="D61:M61" si="59">SUM(D58:D60)</f>
        <v>0</v>
      </c>
      <c r="E61" s="156">
        <f t="shared" si="10"/>
        <v>0</v>
      </c>
      <c r="F61" s="41">
        <f t="shared" ref="F61" si="60">SUM(F58:F60)</f>
        <v>0</v>
      </c>
      <c r="G61" s="41">
        <f t="shared" si="59"/>
        <v>0</v>
      </c>
      <c r="H61" s="156">
        <f t="shared" si="11"/>
        <v>0</v>
      </c>
      <c r="I61" s="41">
        <f t="shared" ref="I61" si="61">SUM(I58:I60)</f>
        <v>0</v>
      </c>
      <c r="J61" s="41">
        <f t="shared" si="59"/>
        <v>0</v>
      </c>
      <c r="K61" s="156">
        <f t="shared" si="12"/>
        <v>0</v>
      </c>
      <c r="L61" s="40">
        <f t="shared" si="59"/>
        <v>0</v>
      </c>
      <c r="M61" s="41">
        <f t="shared" si="59"/>
        <v>0</v>
      </c>
      <c r="N61" s="156">
        <f t="shared" si="14"/>
        <v>0</v>
      </c>
    </row>
    <row r="62" spans="1:14" ht="16.5" thickBot="1">
      <c r="A62" s="229" t="s">
        <v>77</v>
      </c>
      <c r="B62" s="230"/>
      <c r="C62" s="45">
        <f>C56+C57+C61</f>
        <v>246739</v>
      </c>
      <c r="D62" s="45">
        <f>D56+D57+D61</f>
        <v>5278</v>
      </c>
      <c r="E62" s="158">
        <f t="shared" si="10"/>
        <v>252017</v>
      </c>
      <c r="F62" s="45">
        <f>F56+F57+F61</f>
        <v>68780</v>
      </c>
      <c r="G62" s="45">
        <f>G56+G57+G61</f>
        <v>1721</v>
      </c>
      <c r="H62" s="158">
        <f t="shared" si="11"/>
        <v>70501</v>
      </c>
      <c r="I62" s="45">
        <f>I56+I57+I61</f>
        <v>103930</v>
      </c>
      <c r="J62" s="45">
        <f>J56+J57+J61</f>
        <v>2364</v>
      </c>
      <c r="K62" s="158">
        <f t="shared" si="12"/>
        <v>106294</v>
      </c>
      <c r="L62" s="44">
        <f>L56+L57+L61</f>
        <v>409696</v>
      </c>
      <c r="M62" s="45">
        <f>M56+M57+M61</f>
        <v>9363</v>
      </c>
      <c r="N62" s="158">
        <f t="shared" si="14"/>
        <v>428812</v>
      </c>
    </row>
    <row r="63" spans="1:14" ht="17.25" thickTop="1" thickBot="1">
      <c r="A63" s="215"/>
      <c r="B63" s="216"/>
      <c r="C63" s="10"/>
      <c r="D63" s="10"/>
      <c r="E63" s="159"/>
      <c r="F63" s="10"/>
      <c r="G63" s="10"/>
      <c r="H63" s="159"/>
      <c r="I63" s="10"/>
      <c r="J63" s="10"/>
      <c r="K63" s="159"/>
      <c r="L63" s="50"/>
      <c r="M63" s="10"/>
      <c r="N63" s="159"/>
    </row>
    <row r="64" spans="1:14" ht="16.5" thickBot="1">
      <c r="A64" s="9">
        <v>50</v>
      </c>
      <c r="B64" s="11" t="s">
        <v>43</v>
      </c>
      <c r="C64" s="201">
        <v>70</v>
      </c>
      <c r="D64" s="201"/>
      <c r="E64" s="202">
        <f t="shared" si="10"/>
        <v>70</v>
      </c>
      <c r="F64" s="201">
        <v>20</v>
      </c>
      <c r="G64" s="201"/>
      <c r="H64" s="202">
        <f t="shared" si="11"/>
        <v>20</v>
      </c>
      <c r="I64" s="201">
        <v>35</v>
      </c>
      <c r="J64" s="201"/>
      <c r="K64" s="202">
        <f t="shared" si="12"/>
        <v>35</v>
      </c>
      <c r="L64" s="200">
        <f>C64+F64+I64</f>
        <v>125</v>
      </c>
      <c r="M64" s="201">
        <f>D64+G64+J64</f>
        <v>0</v>
      </c>
      <c r="N64" s="202">
        <f t="shared" si="14"/>
        <v>125</v>
      </c>
    </row>
    <row r="65" ht="12" customHeight="1"/>
  </sheetData>
  <mergeCells count="31">
    <mergeCell ref="A62:B62"/>
    <mergeCell ref="A63:B63"/>
    <mergeCell ref="L8:L9"/>
    <mergeCell ref="M8:M9"/>
    <mergeCell ref="N8:N9"/>
    <mergeCell ref="A10:B10"/>
    <mergeCell ref="A41:B41"/>
    <mergeCell ref="A42:B42"/>
    <mergeCell ref="C8:C9"/>
    <mergeCell ref="D8:D9"/>
    <mergeCell ref="E8:E9"/>
    <mergeCell ref="F8:F9"/>
    <mergeCell ref="G8:G9"/>
    <mergeCell ref="I8:I9"/>
    <mergeCell ref="J8:J9"/>
    <mergeCell ref="K2:N2"/>
    <mergeCell ref="L3:N3"/>
    <mergeCell ref="C1:E2"/>
    <mergeCell ref="A5:A9"/>
    <mergeCell ref="B5:B9"/>
    <mergeCell ref="C5:E5"/>
    <mergeCell ref="F5:H5"/>
    <mergeCell ref="H8:H9"/>
    <mergeCell ref="K8:K9"/>
    <mergeCell ref="L5:N5"/>
    <mergeCell ref="C6:E7"/>
    <mergeCell ref="F6:H7"/>
    <mergeCell ref="I6:K7"/>
    <mergeCell ref="L6:N7"/>
    <mergeCell ref="I5:K5"/>
    <mergeCell ref="J1:N1"/>
  </mergeCells>
  <pageMargins left="0.56000000000000005" right="0.23622047244094491" top="0.15748031496062992" bottom="0.23622047244094491" header="0.15748031496062992" footer="0.19685039370078741"/>
  <pageSetup paperSize="9" scale="49" orientation="landscape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73"/>
  <sheetViews>
    <sheetView view="pageBreakPreview" zoomScale="80" zoomScaleNormal="70" zoomScaleSheetLayoutView="80" workbookViewId="0">
      <pane xSplit="2" ySplit="10" topLeftCell="J11" activePane="bottomRight" state="frozen"/>
      <selection pane="topRight" activeCell="C1" sqref="C1"/>
      <selection pane="bottomLeft" activeCell="A11" sqref="A11"/>
      <selection pane="bottomRight" activeCell="J2" sqref="J2"/>
    </sheetView>
  </sheetViews>
  <sheetFormatPr defaultRowHeight="12.75"/>
  <cols>
    <col min="1" max="1" width="11.7109375" style="57" bestFit="1" customWidth="1"/>
    <col min="2" max="2" width="93.140625" style="57" bestFit="1" customWidth="1"/>
    <col min="3" max="3" width="14.42578125" style="57" customWidth="1"/>
    <col min="4" max="4" width="14.5703125" style="57" customWidth="1"/>
    <col min="5" max="5" width="13.85546875" style="63" bestFit="1" customWidth="1"/>
    <col min="6" max="6" width="14.42578125" style="57" customWidth="1"/>
    <col min="7" max="7" width="14" style="57" customWidth="1"/>
    <col min="8" max="8" width="15.5703125" style="63" customWidth="1"/>
    <col min="9" max="9" width="14.42578125" style="57" customWidth="1"/>
    <col min="10" max="10" width="14" style="57" customWidth="1"/>
    <col min="11" max="11" width="14" style="63" customWidth="1"/>
    <col min="12" max="12" width="14.42578125" style="57" hidden="1" customWidth="1"/>
    <col min="13" max="13" width="14" style="57" hidden="1" customWidth="1"/>
    <col min="14" max="14" width="14" style="63" hidden="1" customWidth="1"/>
    <col min="15" max="15" width="14.85546875" style="57" hidden="1" customWidth="1"/>
    <col min="16" max="16" width="13.28515625" style="57" hidden="1" customWidth="1"/>
    <col min="17" max="17" width="13.42578125" style="57" hidden="1" customWidth="1"/>
    <col min="18" max="18" width="14.42578125" style="57" customWidth="1"/>
    <col min="19" max="19" width="14" style="57" customWidth="1"/>
    <col min="20" max="20" width="14.42578125" style="63" customWidth="1"/>
    <col min="21" max="253" width="9.140625" style="57"/>
    <col min="254" max="254" width="11.7109375" style="57" bestFit="1" customWidth="1"/>
    <col min="255" max="255" width="93.140625" style="57" bestFit="1" customWidth="1"/>
    <col min="256" max="256" width="14.42578125" style="57" customWidth="1"/>
    <col min="257" max="257" width="14" style="57" customWidth="1"/>
    <col min="258" max="258" width="12.42578125" style="57" bestFit="1" customWidth="1"/>
    <col min="259" max="259" width="14.42578125" style="57" customWidth="1"/>
    <col min="260" max="260" width="14" style="57" customWidth="1"/>
    <col min="261" max="261" width="15.5703125" style="57" customWidth="1"/>
    <col min="262" max="262" width="14.42578125" style="57" customWidth="1"/>
    <col min="263" max="264" width="14" style="57" customWidth="1"/>
    <col min="265" max="270" width="0" style="57" hidden="1" customWidth="1"/>
    <col min="271" max="509" width="9.140625" style="57"/>
    <col min="510" max="510" width="11.7109375" style="57" bestFit="1" customWidth="1"/>
    <col min="511" max="511" width="93.140625" style="57" bestFit="1" customWidth="1"/>
    <col min="512" max="512" width="14.42578125" style="57" customWidth="1"/>
    <col min="513" max="513" width="14" style="57" customWidth="1"/>
    <col min="514" max="514" width="12.42578125" style="57" bestFit="1" customWidth="1"/>
    <col min="515" max="515" width="14.42578125" style="57" customWidth="1"/>
    <col min="516" max="516" width="14" style="57" customWidth="1"/>
    <col min="517" max="517" width="15.5703125" style="57" customWidth="1"/>
    <col min="518" max="518" width="14.42578125" style="57" customWidth="1"/>
    <col min="519" max="520" width="14" style="57" customWidth="1"/>
    <col min="521" max="526" width="0" style="57" hidden="1" customWidth="1"/>
    <col min="527" max="765" width="9.140625" style="57"/>
    <col min="766" max="766" width="11.7109375" style="57" bestFit="1" customWidth="1"/>
    <col min="767" max="767" width="93.140625" style="57" bestFit="1" customWidth="1"/>
    <col min="768" max="768" width="14.42578125" style="57" customWidth="1"/>
    <col min="769" max="769" width="14" style="57" customWidth="1"/>
    <col min="770" max="770" width="12.42578125" style="57" bestFit="1" customWidth="1"/>
    <col min="771" max="771" width="14.42578125" style="57" customWidth="1"/>
    <col min="772" max="772" width="14" style="57" customWidth="1"/>
    <col min="773" max="773" width="15.5703125" style="57" customWidth="1"/>
    <col min="774" max="774" width="14.42578125" style="57" customWidth="1"/>
    <col min="775" max="776" width="14" style="57" customWidth="1"/>
    <col min="777" max="782" width="0" style="57" hidden="1" customWidth="1"/>
    <col min="783" max="1021" width="9.140625" style="57"/>
    <col min="1022" max="1022" width="11.7109375" style="57" bestFit="1" customWidth="1"/>
    <col min="1023" max="1023" width="93.140625" style="57" bestFit="1" customWidth="1"/>
    <col min="1024" max="1024" width="14.42578125" style="57" customWidth="1"/>
    <col min="1025" max="1025" width="14" style="57" customWidth="1"/>
    <col min="1026" max="1026" width="12.42578125" style="57" bestFit="1" customWidth="1"/>
    <col min="1027" max="1027" width="14.42578125" style="57" customWidth="1"/>
    <col min="1028" max="1028" width="14" style="57" customWidth="1"/>
    <col min="1029" max="1029" width="15.5703125" style="57" customWidth="1"/>
    <col min="1030" max="1030" width="14.42578125" style="57" customWidth="1"/>
    <col min="1031" max="1032" width="14" style="57" customWidth="1"/>
    <col min="1033" max="1038" width="0" style="57" hidden="1" customWidth="1"/>
    <col min="1039" max="1277" width="9.140625" style="57"/>
    <col min="1278" max="1278" width="11.7109375" style="57" bestFit="1" customWidth="1"/>
    <col min="1279" max="1279" width="93.140625" style="57" bestFit="1" customWidth="1"/>
    <col min="1280" max="1280" width="14.42578125" style="57" customWidth="1"/>
    <col min="1281" max="1281" width="14" style="57" customWidth="1"/>
    <col min="1282" max="1282" width="12.42578125" style="57" bestFit="1" customWidth="1"/>
    <col min="1283" max="1283" width="14.42578125" style="57" customWidth="1"/>
    <col min="1284" max="1284" width="14" style="57" customWidth="1"/>
    <col min="1285" max="1285" width="15.5703125" style="57" customWidth="1"/>
    <col min="1286" max="1286" width="14.42578125" style="57" customWidth="1"/>
    <col min="1287" max="1288" width="14" style="57" customWidth="1"/>
    <col min="1289" max="1294" width="0" style="57" hidden="1" customWidth="1"/>
    <col min="1295" max="1533" width="9.140625" style="57"/>
    <col min="1534" max="1534" width="11.7109375" style="57" bestFit="1" customWidth="1"/>
    <col min="1535" max="1535" width="93.140625" style="57" bestFit="1" customWidth="1"/>
    <col min="1536" max="1536" width="14.42578125" style="57" customWidth="1"/>
    <col min="1537" max="1537" width="14" style="57" customWidth="1"/>
    <col min="1538" max="1538" width="12.42578125" style="57" bestFit="1" customWidth="1"/>
    <col min="1539" max="1539" width="14.42578125" style="57" customWidth="1"/>
    <col min="1540" max="1540" width="14" style="57" customWidth="1"/>
    <col min="1541" max="1541" width="15.5703125" style="57" customWidth="1"/>
    <col min="1542" max="1542" width="14.42578125" style="57" customWidth="1"/>
    <col min="1543" max="1544" width="14" style="57" customWidth="1"/>
    <col min="1545" max="1550" width="0" style="57" hidden="1" customWidth="1"/>
    <col min="1551" max="1789" width="9.140625" style="57"/>
    <col min="1790" max="1790" width="11.7109375" style="57" bestFit="1" customWidth="1"/>
    <col min="1791" max="1791" width="93.140625" style="57" bestFit="1" customWidth="1"/>
    <col min="1792" max="1792" width="14.42578125" style="57" customWidth="1"/>
    <col min="1793" max="1793" width="14" style="57" customWidth="1"/>
    <col min="1794" max="1794" width="12.42578125" style="57" bestFit="1" customWidth="1"/>
    <col min="1795" max="1795" width="14.42578125" style="57" customWidth="1"/>
    <col min="1796" max="1796" width="14" style="57" customWidth="1"/>
    <col min="1797" max="1797" width="15.5703125" style="57" customWidth="1"/>
    <col min="1798" max="1798" width="14.42578125" style="57" customWidth="1"/>
    <col min="1799" max="1800" width="14" style="57" customWidth="1"/>
    <col min="1801" max="1806" width="0" style="57" hidden="1" customWidth="1"/>
    <col min="1807" max="2045" width="9.140625" style="57"/>
    <col min="2046" max="2046" width="11.7109375" style="57" bestFit="1" customWidth="1"/>
    <col min="2047" max="2047" width="93.140625" style="57" bestFit="1" customWidth="1"/>
    <col min="2048" max="2048" width="14.42578125" style="57" customWidth="1"/>
    <col min="2049" max="2049" width="14" style="57" customWidth="1"/>
    <col min="2050" max="2050" width="12.42578125" style="57" bestFit="1" customWidth="1"/>
    <col min="2051" max="2051" width="14.42578125" style="57" customWidth="1"/>
    <col min="2052" max="2052" width="14" style="57" customWidth="1"/>
    <col min="2053" max="2053" width="15.5703125" style="57" customWidth="1"/>
    <col min="2054" max="2054" width="14.42578125" style="57" customWidth="1"/>
    <col min="2055" max="2056" width="14" style="57" customWidth="1"/>
    <col min="2057" max="2062" width="0" style="57" hidden="1" customWidth="1"/>
    <col min="2063" max="2301" width="9.140625" style="57"/>
    <col min="2302" max="2302" width="11.7109375" style="57" bestFit="1" customWidth="1"/>
    <col min="2303" max="2303" width="93.140625" style="57" bestFit="1" customWidth="1"/>
    <col min="2304" max="2304" width="14.42578125" style="57" customWidth="1"/>
    <col min="2305" max="2305" width="14" style="57" customWidth="1"/>
    <col min="2306" max="2306" width="12.42578125" style="57" bestFit="1" customWidth="1"/>
    <col min="2307" max="2307" width="14.42578125" style="57" customWidth="1"/>
    <col min="2308" max="2308" width="14" style="57" customWidth="1"/>
    <col min="2309" max="2309" width="15.5703125" style="57" customWidth="1"/>
    <col min="2310" max="2310" width="14.42578125" style="57" customWidth="1"/>
    <col min="2311" max="2312" width="14" style="57" customWidth="1"/>
    <col min="2313" max="2318" width="0" style="57" hidden="1" customWidth="1"/>
    <col min="2319" max="2557" width="9.140625" style="57"/>
    <col min="2558" max="2558" width="11.7109375" style="57" bestFit="1" customWidth="1"/>
    <col min="2559" max="2559" width="93.140625" style="57" bestFit="1" customWidth="1"/>
    <col min="2560" max="2560" width="14.42578125" style="57" customWidth="1"/>
    <col min="2561" max="2561" width="14" style="57" customWidth="1"/>
    <col min="2562" max="2562" width="12.42578125" style="57" bestFit="1" customWidth="1"/>
    <col min="2563" max="2563" width="14.42578125" style="57" customWidth="1"/>
    <col min="2564" max="2564" width="14" style="57" customWidth="1"/>
    <col min="2565" max="2565" width="15.5703125" style="57" customWidth="1"/>
    <col min="2566" max="2566" width="14.42578125" style="57" customWidth="1"/>
    <col min="2567" max="2568" width="14" style="57" customWidth="1"/>
    <col min="2569" max="2574" width="0" style="57" hidden="1" customWidth="1"/>
    <col min="2575" max="2813" width="9.140625" style="57"/>
    <col min="2814" max="2814" width="11.7109375" style="57" bestFit="1" customWidth="1"/>
    <col min="2815" max="2815" width="93.140625" style="57" bestFit="1" customWidth="1"/>
    <col min="2816" max="2816" width="14.42578125" style="57" customWidth="1"/>
    <col min="2817" max="2817" width="14" style="57" customWidth="1"/>
    <col min="2818" max="2818" width="12.42578125" style="57" bestFit="1" customWidth="1"/>
    <col min="2819" max="2819" width="14.42578125" style="57" customWidth="1"/>
    <col min="2820" max="2820" width="14" style="57" customWidth="1"/>
    <col min="2821" max="2821" width="15.5703125" style="57" customWidth="1"/>
    <col min="2822" max="2822" width="14.42578125" style="57" customWidth="1"/>
    <col min="2823" max="2824" width="14" style="57" customWidth="1"/>
    <col min="2825" max="2830" width="0" style="57" hidden="1" customWidth="1"/>
    <col min="2831" max="3069" width="9.140625" style="57"/>
    <col min="3070" max="3070" width="11.7109375" style="57" bestFit="1" customWidth="1"/>
    <col min="3071" max="3071" width="93.140625" style="57" bestFit="1" customWidth="1"/>
    <col min="3072" max="3072" width="14.42578125" style="57" customWidth="1"/>
    <col min="3073" max="3073" width="14" style="57" customWidth="1"/>
    <col min="3074" max="3074" width="12.42578125" style="57" bestFit="1" customWidth="1"/>
    <col min="3075" max="3075" width="14.42578125" style="57" customWidth="1"/>
    <col min="3076" max="3076" width="14" style="57" customWidth="1"/>
    <col min="3077" max="3077" width="15.5703125" style="57" customWidth="1"/>
    <col min="3078" max="3078" width="14.42578125" style="57" customWidth="1"/>
    <col min="3079" max="3080" width="14" style="57" customWidth="1"/>
    <col min="3081" max="3086" width="0" style="57" hidden="1" customWidth="1"/>
    <col min="3087" max="3325" width="9.140625" style="57"/>
    <col min="3326" max="3326" width="11.7109375" style="57" bestFit="1" customWidth="1"/>
    <col min="3327" max="3327" width="93.140625" style="57" bestFit="1" customWidth="1"/>
    <col min="3328" max="3328" width="14.42578125" style="57" customWidth="1"/>
    <col min="3329" max="3329" width="14" style="57" customWidth="1"/>
    <col min="3330" max="3330" width="12.42578125" style="57" bestFit="1" customWidth="1"/>
    <col min="3331" max="3331" width="14.42578125" style="57" customWidth="1"/>
    <col min="3332" max="3332" width="14" style="57" customWidth="1"/>
    <col min="3333" max="3333" width="15.5703125" style="57" customWidth="1"/>
    <col min="3334" max="3334" width="14.42578125" style="57" customWidth="1"/>
    <col min="3335" max="3336" width="14" style="57" customWidth="1"/>
    <col min="3337" max="3342" width="0" style="57" hidden="1" customWidth="1"/>
    <col min="3343" max="3581" width="9.140625" style="57"/>
    <col min="3582" max="3582" width="11.7109375" style="57" bestFit="1" customWidth="1"/>
    <col min="3583" max="3583" width="93.140625" style="57" bestFit="1" customWidth="1"/>
    <col min="3584" max="3584" width="14.42578125" style="57" customWidth="1"/>
    <col min="3585" max="3585" width="14" style="57" customWidth="1"/>
    <col min="3586" max="3586" width="12.42578125" style="57" bestFit="1" customWidth="1"/>
    <col min="3587" max="3587" width="14.42578125" style="57" customWidth="1"/>
    <col min="3588" max="3588" width="14" style="57" customWidth="1"/>
    <col min="3589" max="3589" width="15.5703125" style="57" customWidth="1"/>
    <col min="3590" max="3590" width="14.42578125" style="57" customWidth="1"/>
    <col min="3591" max="3592" width="14" style="57" customWidth="1"/>
    <col min="3593" max="3598" width="0" style="57" hidden="1" customWidth="1"/>
    <col min="3599" max="3837" width="9.140625" style="57"/>
    <col min="3838" max="3838" width="11.7109375" style="57" bestFit="1" customWidth="1"/>
    <col min="3839" max="3839" width="93.140625" style="57" bestFit="1" customWidth="1"/>
    <col min="3840" max="3840" width="14.42578125" style="57" customWidth="1"/>
    <col min="3841" max="3841" width="14" style="57" customWidth="1"/>
    <col min="3842" max="3842" width="12.42578125" style="57" bestFit="1" customWidth="1"/>
    <col min="3843" max="3843" width="14.42578125" style="57" customWidth="1"/>
    <col min="3844" max="3844" width="14" style="57" customWidth="1"/>
    <col min="3845" max="3845" width="15.5703125" style="57" customWidth="1"/>
    <col min="3846" max="3846" width="14.42578125" style="57" customWidth="1"/>
    <col min="3847" max="3848" width="14" style="57" customWidth="1"/>
    <col min="3849" max="3854" width="0" style="57" hidden="1" customWidth="1"/>
    <col min="3855" max="4093" width="9.140625" style="57"/>
    <col min="4094" max="4094" width="11.7109375" style="57" bestFit="1" customWidth="1"/>
    <col min="4095" max="4095" width="93.140625" style="57" bestFit="1" customWidth="1"/>
    <col min="4096" max="4096" width="14.42578125" style="57" customWidth="1"/>
    <col min="4097" max="4097" width="14" style="57" customWidth="1"/>
    <col min="4098" max="4098" width="12.42578125" style="57" bestFit="1" customWidth="1"/>
    <col min="4099" max="4099" width="14.42578125" style="57" customWidth="1"/>
    <col min="4100" max="4100" width="14" style="57" customWidth="1"/>
    <col min="4101" max="4101" width="15.5703125" style="57" customWidth="1"/>
    <col min="4102" max="4102" width="14.42578125" style="57" customWidth="1"/>
    <col min="4103" max="4104" width="14" style="57" customWidth="1"/>
    <col min="4105" max="4110" width="0" style="57" hidden="1" customWidth="1"/>
    <col min="4111" max="4349" width="9.140625" style="57"/>
    <col min="4350" max="4350" width="11.7109375" style="57" bestFit="1" customWidth="1"/>
    <col min="4351" max="4351" width="93.140625" style="57" bestFit="1" customWidth="1"/>
    <col min="4352" max="4352" width="14.42578125" style="57" customWidth="1"/>
    <col min="4353" max="4353" width="14" style="57" customWidth="1"/>
    <col min="4354" max="4354" width="12.42578125" style="57" bestFit="1" customWidth="1"/>
    <col min="4355" max="4355" width="14.42578125" style="57" customWidth="1"/>
    <col min="4356" max="4356" width="14" style="57" customWidth="1"/>
    <col min="4357" max="4357" width="15.5703125" style="57" customWidth="1"/>
    <col min="4358" max="4358" width="14.42578125" style="57" customWidth="1"/>
    <col min="4359" max="4360" width="14" style="57" customWidth="1"/>
    <col min="4361" max="4366" width="0" style="57" hidden="1" customWidth="1"/>
    <col min="4367" max="4605" width="9.140625" style="57"/>
    <col min="4606" max="4606" width="11.7109375" style="57" bestFit="1" customWidth="1"/>
    <col min="4607" max="4607" width="93.140625" style="57" bestFit="1" customWidth="1"/>
    <col min="4608" max="4608" width="14.42578125" style="57" customWidth="1"/>
    <col min="4609" max="4609" width="14" style="57" customWidth="1"/>
    <col min="4610" max="4610" width="12.42578125" style="57" bestFit="1" customWidth="1"/>
    <col min="4611" max="4611" width="14.42578125" style="57" customWidth="1"/>
    <col min="4612" max="4612" width="14" style="57" customWidth="1"/>
    <col min="4613" max="4613" width="15.5703125" style="57" customWidth="1"/>
    <col min="4614" max="4614" width="14.42578125" style="57" customWidth="1"/>
    <col min="4615" max="4616" width="14" style="57" customWidth="1"/>
    <col min="4617" max="4622" width="0" style="57" hidden="1" customWidth="1"/>
    <col min="4623" max="4861" width="9.140625" style="57"/>
    <col min="4862" max="4862" width="11.7109375" style="57" bestFit="1" customWidth="1"/>
    <col min="4863" max="4863" width="93.140625" style="57" bestFit="1" customWidth="1"/>
    <col min="4864" max="4864" width="14.42578125" style="57" customWidth="1"/>
    <col min="4865" max="4865" width="14" style="57" customWidth="1"/>
    <col min="4866" max="4866" width="12.42578125" style="57" bestFit="1" customWidth="1"/>
    <col min="4867" max="4867" width="14.42578125" style="57" customWidth="1"/>
    <col min="4868" max="4868" width="14" style="57" customWidth="1"/>
    <col min="4869" max="4869" width="15.5703125" style="57" customWidth="1"/>
    <col min="4870" max="4870" width="14.42578125" style="57" customWidth="1"/>
    <col min="4871" max="4872" width="14" style="57" customWidth="1"/>
    <col min="4873" max="4878" width="0" style="57" hidden="1" customWidth="1"/>
    <col min="4879" max="5117" width="9.140625" style="57"/>
    <col min="5118" max="5118" width="11.7109375" style="57" bestFit="1" customWidth="1"/>
    <col min="5119" max="5119" width="93.140625" style="57" bestFit="1" customWidth="1"/>
    <col min="5120" max="5120" width="14.42578125" style="57" customWidth="1"/>
    <col min="5121" max="5121" width="14" style="57" customWidth="1"/>
    <col min="5122" max="5122" width="12.42578125" style="57" bestFit="1" customWidth="1"/>
    <col min="5123" max="5123" width="14.42578125" style="57" customWidth="1"/>
    <col min="5124" max="5124" width="14" style="57" customWidth="1"/>
    <col min="5125" max="5125" width="15.5703125" style="57" customWidth="1"/>
    <col min="5126" max="5126" width="14.42578125" style="57" customWidth="1"/>
    <col min="5127" max="5128" width="14" style="57" customWidth="1"/>
    <col min="5129" max="5134" width="0" style="57" hidden="1" customWidth="1"/>
    <col min="5135" max="5373" width="9.140625" style="57"/>
    <col min="5374" max="5374" width="11.7109375" style="57" bestFit="1" customWidth="1"/>
    <col min="5375" max="5375" width="93.140625" style="57" bestFit="1" customWidth="1"/>
    <col min="5376" max="5376" width="14.42578125" style="57" customWidth="1"/>
    <col min="5377" max="5377" width="14" style="57" customWidth="1"/>
    <col min="5378" max="5378" width="12.42578125" style="57" bestFit="1" customWidth="1"/>
    <col min="5379" max="5379" width="14.42578125" style="57" customWidth="1"/>
    <col min="5380" max="5380" width="14" style="57" customWidth="1"/>
    <col min="5381" max="5381" width="15.5703125" style="57" customWidth="1"/>
    <col min="5382" max="5382" width="14.42578125" style="57" customWidth="1"/>
    <col min="5383" max="5384" width="14" style="57" customWidth="1"/>
    <col min="5385" max="5390" width="0" style="57" hidden="1" customWidth="1"/>
    <col min="5391" max="5629" width="9.140625" style="57"/>
    <col min="5630" max="5630" width="11.7109375" style="57" bestFit="1" customWidth="1"/>
    <col min="5631" max="5631" width="93.140625" style="57" bestFit="1" customWidth="1"/>
    <col min="5632" max="5632" width="14.42578125" style="57" customWidth="1"/>
    <col min="5633" max="5633" width="14" style="57" customWidth="1"/>
    <col min="5634" max="5634" width="12.42578125" style="57" bestFit="1" customWidth="1"/>
    <col min="5635" max="5635" width="14.42578125" style="57" customWidth="1"/>
    <col min="5636" max="5636" width="14" style="57" customWidth="1"/>
    <col min="5637" max="5637" width="15.5703125" style="57" customWidth="1"/>
    <col min="5638" max="5638" width="14.42578125" style="57" customWidth="1"/>
    <col min="5639" max="5640" width="14" style="57" customWidth="1"/>
    <col min="5641" max="5646" width="0" style="57" hidden="1" customWidth="1"/>
    <col min="5647" max="5885" width="9.140625" style="57"/>
    <col min="5886" max="5886" width="11.7109375" style="57" bestFit="1" customWidth="1"/>
    <col min="5887" max="5887" width="93.140625" style="57" bestFit="1" customWidth="1"/>
    <col min="5888" max="5888" width="14.42578125" style="57" customWidth="1"/>
    <col min="5889" max="5889" width="14" style="57" customWidth="1"/>
    <col min="5890" max="5890" width="12.42578125" style="57" bestFit="1" customWidth="1"/>
    <col min="5891" max="5891" width="14.42578125" style="57" customWidth="1"/>
    <col min="5892" max="5892" width="14" style="57" customWidth="1"/>
    <col min="5893" max="5893" width="15.5703125" style="57" customWidth="1"/>
    <col min="5894" max="5894" width="14.42578125" style="57" customWidth="1"/>
    <col min="5895" max="5896" width="14" style="57" customWidth="1"/>
    <col min="5897" max="5902" width="0" style="57" hidden="1" customWidth="1"/>
    <col min="5903" max="6141" width="9.140625" style="57"/>
    <col min="6142" max="6142" width="11.7109375" style="57" bestFit="1" customWidth="1"/>
    <col min="6143" max="6143" width="93.140625" style="57" bestFit="1" customWidth="1"/>
    <col min="6144" max="6144" width="14.42578125" style="57" customWidth="1"/>
    <col min="6145" max="6145" width="14" style="57" customWidth="1"/>
    <col min="6146" max="6146" width="12.42578125" style="57" bestFit="1" customWidth="1"/>
    <col min="6147" max="6147" width="14.42578125" style="57" customWidth="1"/>
    <col min="6148" max="6148" width="14" style="57" customWidth="1"/>
    <col min="6149" max="6149" width="15.5703125" style="57" customWidth="1"/>
    <col min="6150" max="6150" width="14.42578125" style="57" customWidth="1"/>
    <col min="6151" max="6152" width="14" style="57" customWidth="1"/>
    <col min="6153" max="6158" width="0" style="57" hidden="1" customWidth="1"/>
    <col min="6159" max="6397" width="9.140625" style="57"/>
    <col min="6398" max="6398" width="11.7109375" style="57" bestFit="1" customWidth="1"/>
    <col min="6399" max="6399" width="93.140625" style="57" bestFit="1" customWidth="1"/>
    <col min="6400" max="6400" width="14.42578125" style="57" customWidth="1"/>
    <col min="6401" max="6401" width="14" style="57" customWidth="1"/>
    <col min="6402" max="6402" width="12.42578125" style="57" bestFit="1" customWidth="1"/>
    <col min="6403" max="6403" width="14.42578125" style="57" customWidth="1"/>
    <col min="6404" max="6404" width="14" style="57" customWidth="1"/>
    <col min="6405" max="6405" width="15.5703125" style="57" customWidth="1"/>
    <col min="6406" max="6406" width="14.42578125" style="57" customWidth="1"/>
    <col min="6407" max="6408" width="14" style="57" customWidth="1"/>
    <col min="6409" max="6414" width="0" style="57" hidden="1" customWidth="1"/>
    <col min="6415" max="6653" width="9.140625" style="57"/>
    <col min="6654" max="6654" width="11.7109375" style="57" bestFit="1" customWidth="1"/>
    <col min="6655" max="6655" width="93.140625" style="57" bestFit="1" customWidth="1"/>
    <col min="6656" max="6656" width="14.42578125" style="57" customWidth="1"/>
    <col min="6657" max="6657" width="14" style="57" customWidth="1"/>
    <col min="6658" max="6658" width="12.42578125" style="57" bestFit="1" customWidth="1"/>
    <col min="6659" max="6659" width="14.42578125" style="57" customWidth="1"/>
    <col min="6660" max="6660" width="14" style="57" customWidth="1"/>
    <col min="6661" max="6661" width="15.5703125" style="57" customWidth="1"/>
    <col min="6662" max="6662" width="14.42578125" style="57" customWidth="1"/>
    <col min="6663" max="6664" width="14" style="57" customWidth="1"/>
    <col min="6665" max="6670" width="0" style="57" hidden="1" customWidth="1"/>
    <col min="6671" max="6909" width="9.140625" style="57"/>
    <col min="6910" max="6910" width="11.7109375" style="57" bestFit="1" customWidth="1"/>
    <col min="6911" max="6911" width="93.140625" style="57" bestFit="1" customWidth="1"/>
    <col min="6912" max="6912" width="14.42578125" style="57" customWidth="1"/>
    <col min="6913" max="6913" width="14" style="57" customWidth="1"/>
    <col min="6914" max="6914" width="12.42578125" style="57" bestFit="1" customWidth="1"/>
    <col min="6915" max="6915" width="14.42578125" style="57" customWidth="1"/>
    <col min="6916" max="6916" width="14" style="57" customWidth="1"/>
    <col min="6917" max="6917" width="15.5703125" style="57" customWidth="1"/>
    <col min="6918" max="6918" width="14.42578125" style="57" customWidth="1"/>
    <col min="6919" max="6920" width="14" style="57" customWidth="1"/>
    <col min="6921" max="6926" width="0" style="57" hidden="1" customWidth="1"/>
    <col min="6927" max="7165" width="9.140625" style="57"/>
    <col min="7166" max="7166" width="11.7109375" style="57" bestFit="1" customWidth="1"/>
    <col min="7167" max="7167" width="93.140625" style="57" bestFit="1" customWidth="1"/>
    <col min="7168" max="7168" width="14.42578125" style="57" customWidth="1"/>
    <col min="7169" max="7169" width="14" style="57" customWidth="1"/>
    <col min="7170" max="7170" width="12.42578125" style="57" bestFit="1" customWidth="1"/>
    <col min="7171" max="7171" width="14.42578125" style="57" customWidth="1"/>
    <col min="7172" max="7172" width="14" style="57" customWidth="1"/>
    <col min="7173" max="7173" width="15.5703125" style="57" customWidth="1"/>
    <col min="7174" max="7174" width="14.42578125" style="57" customWidth="1"/>
    <col min="7175" max="7176" width="14" style="57" customWidth="1"/>
    <col min="7177" max="7182" width="0" style="57" hidden="1" customWidth="1"/>
    <col min="7183" max="7421" width="9.140625" style="57"/>
    <col min="7422" max="7422" width="11.7109375" style="57" bestFit="1" customWidth="1"/>
    <col min="7423" max="7423" width="93.140625" style="57" bestFit="1" customWidth="1"/>
    <col min="7424" max="7424" width="14.42578125" style="57" customWidth="1"/>
    <col min="7425" max="7425" width="14" style="57" customWidth="1"/>
    <col min="7426" max="7426" width="12.42578125" style="57" bestFit="1" customWidth="1"/>
    <col min="7427" max="7427" width="14.42578125" style="57" customWidth="1"/>
    <col min="7428" max="7428" width="14" style="57" customWidth="1"/>
    <col min="7429" max="7429" width="15.5703125" style="57" customWidth="1"/>
    <col min="7430" max="7430" width="14.42578125" style="57" customWidth="1"/>
    <col min="7431" max="7432" width="14" style="57" customWidth="1"/>
    <col min="7433" max="7438" width="0" style="57" hidden="1" customWidth="1"/>
    <col min="7439" max="7677" width="9.140625" style="57"/>
    <col min="7678" max="7678" width="11.7109375" style="57" bestFit="1" customWidth="1"/>
    <col min="7679" max="7679" width="93.140625" style="57" bestFit="1" customWidth="1"/>
    <col min="7680" max="7680" width="14.42578125" style="57" customWidth="1"/>
    <col min="7681" max="7681" width="14" style="57" customWidth="1"/>
    <col min="7682" max="7682" width="12.42578125" style="57" bestFit="1" customWidth="1"/>
    <col min="7683" max="7683" width="14.42578125" style="57" customWidth="1"/>
    <col min="7684" max="7684" width="14" style="57" customWidth="1"/>
    <col min="7685" max="7685" width="15.5703125" style="57" customWidth="1"/>
    <col min="7686" max="7686" width="14.42578125" style="57" customWidth="1"/>
    <col min="7687" max="7688" width="14" style="57" customWidth="1"/>
    <col min="7689" max="7694" width="0" style="57" hidden="1" customWidth="1"/>
    <col min="7695" max="7933" width="9.140625" style="57"/>
    <col min="7934" max="7934" width="11.7109375" style="57" bestFit="1" customWidth="1"/>
    <col min="7935" max="7935" width="93.140625" style="57" bestFit="1" customWidth="1"/>
    <col min="7936" max="7936" width="14.42578125" style="57" customWidth="1"/>
    <col min="7937" max="7937" width="14" style="57" customWidth="1"/>
    <col min="7938" max="7938" width="12.42578125" style="57" bestFit="1" customWidth="1"/>
    <col min="7939" max="7939" width="14.42578125" style="57" customWidth="1"/>
    <col min="7940" max="7940" width="14" style="57" customWidth="1"/>
    <col min="7941" max="7941" width="15.5703125" style="57" customWidth="1"/>
    <col min="7942" max="7942" width="14.42578125" style="57" customWidth="1"/>
    <col min="7943" max="7944" width="14" style="57" customWidth="1"/>
    <col min="7945" max="7950" width="0" style="57" hidden="1" customWidth="1"/>
    <col min="7951" max="8189" width="9.140625" style="57"/>
    <col min="8190" max="8190" width="11.7109375" style="57" bestFit="1" customWidth="1"/>
    <col min="8191" max="8191" width="93.140625" style="57" bestFit="1" customWidth="1"/>
    <col min="8192" max="8192" width="14.42578125" style="57" customWidth="1"/>
    <col min="8193" max="8193" width="14" style="57" customWidth="1"/>
    <col min="8194" max="8194" width="12.42578125" style="57" bestFit="1" customWidth="1"/>
    <col min="8195" max="8195" width="14.42578125" style="57" customWidth="1"/>
    <col min="8196" max="8196" width="14" style="57" customWidth="1"/>
    <col min="8197" max="8197" width="15.5703125" style="57" customWidth="1"/>
    <col min="8198" max="8198" width="14.42578125" style="57" customWidth="1"/>
    <col min="8199" max="8200" width="14" style="57" customWidth="1"/>
    <col min="8201" max="8206" width="0" style="57" hidden="1" customWidth="1"/>
    <col min="8207" max="8445" width="9.140625" style="57"/>
    <col min="8446" max="8446" width="11.7109375" style="57" bestFit="1" customWidth="1"/>
    <col min="8447" max="8447" width="93.140625" style="57" bestFit="1" customWidth="1"/>
    <col min="8448" max="8448" width="14.42578125" style="57" customWidth="1"/>
    <col min="8449" max="8449" width="14" style="57" customWidth="1"/>
    <col min="8450" max="8450" width="12.42578125" style="57" bestFit="1" customWidth="1"/>
    <col min="8451" max="8451" width="14.42578125" style="57" customWidth="1"/>
    <col min="8452" max="8452" width="14" style="57" customWidth="1"/>
    <col min="8453" max="8453" width="15.5703125" style="57" customWidth="1"/>
    <col min="8454" max="8454" width="14.42578125" style="57" customWidth="1"/>
    <col min="8455" max="8456" width="14" style="57" customWidth="1"/>
    <col min="8457" max="8462" width="0" style="57" hidden="1" customWidth="1"/>
    <col min="8463" max="8701" width="9.140625" style="57"/>
    <col min="8702" max="8702" width="11.7109375" style="57" bestFit="1" customWidth="1"/>
    <col min="8703" max="8703" width="93.140625" style="57" bestFit="1" customWidth="1"/>
    <col min="8704" max="8704" width="14.42578125" style="57" customWidth="1"/>
    <col min="8705" max="8705" width="14" style="57" customWidth="1"/>
    <col min="8706" max="8706" width="12.42578125" style="57" bestFit="1" customWidth="1"/>
    <col min="8707" max="8707" width="14.42578125" style="57" customWidth="1"/>
    <col min="8708" max="8708" width="14" style="57" customWidth="1"/>
    <col min="8709" max="8709" width="15.5703125" style="57" customWidth="1"/>
    <col min="8710" max="8710" width="14.42578125" style="57" customWidth="1"/>
    <col min="8711" max="8712" width="14" style="57" customWidth="1"/>
    <col min="8713" max="8718" width="0" style="57" hidden="1" customWidth="1"/>
    <col min="8719" max="8957" width="9.140625" style="57"/>
    <col min="8958" max="8958" width="11.7109375" style="57" bestFit="1" customWidth="1"/>
    <col min="8959" max="8959" width="93.140625" style="57" bestFit="1" customWidth="1"/>
    <col min="8960" max="8960" width="14.42578125" style="57" customWidth="1"/>
    <col min="8961" max="8961" width="14" style="57" customWidth="1"/>
    <col min="8962" max="8962" width="12.42578125" style="57" bestFit="1" customWidth="1"/>
    <col min="8963" max="8963" width="14.42578125" style="57" customWidth="1"/>
    <col min="8964" max="8964" width="14" style="57" customWidth="1"/>
    <col min="8965" max="8965" width="15.5703125" style="57" customWidth="1"/>
    <col min="8966" max="8966" width="14.42578125" style="57" customWidth="1"/>
    <col min="8967" max="8968" width="14" style="57" customWidth="1"/>
    <col min="8969" max="8974" width="0" style="57" hidden="1" customWidth="1"/>
    <col min="8975" max="9213" width="9.140625" style="57"/>
    <col min="9214" max="9214" width="11.7109375" style="57" bestFit="1" customWidth="1"/>
    <col min="9215" max="9215" width="93.140625" style="57" bestFit="1" customWidth="1"/>
    <col min="9216" max="9216" width="14.42578125" style="57" customWidth="1"/>
    <col min="9217" max="9217" width="14" style="57" customWidth="1"/>
    <col min="9218" max="9218" width="12.42578125" style="57" bestFit="1" customWidth="1"/>
    <col min="9219" max="9219" width="14.42578125" style="57" customWidth="1"/>
    <col min="9220" max="9220" width="14" style="57" customWidth="1"/>
    <col min="9221" max="9221" width="15.5703125" style="57" customWidth="1"/>
    <col min="9222" max="9222" width="14.42578125" style="57" customWidth="1"/>
    <col min="9223" max="9224" width="14" style="57" customWidth="1"/>
    <col min="9225" max="9230" width="0" style="57" hidden="1" customWidth="1"/>
    <col min="9231" max="9469" width="9.140625" style="57"/>
    <col min="9470" max="9470" width="11.7109375" style="57" bestFit="1" customWidth="1"/>
    <col min="9471" max="9471" width="93.140625" style="57" bestFit="1" customWidth="1"/>
    <col min="9472" max="9472" width="14.42578125" style="57" customWidth="1"/>
    <col min="9473" max="9473" width="14" style="57" customWidth="1"/>
    <col min="9474" max="9474" width="12.42578125" style="57" bestFit="1" customWidth="1"/>
    <col min="9475" max="9475" width="14.42578125" style="57" customWidth="1"/>
    <col min="9476" max="9476" width="14" style="57" customWidth="1"/>
    <col min="9477" max="9477" width="15.5703125" style="57" customWidth="1"/>
    <col min="9478" max="9478" width="14.42578125" style="57" customWidth="1"/>
    <col min="9479" max="9480" width="14" style="57" customWidth="1"/>
    <col min="9481" max="9486" width="0" style="57" hidden="1" customWidth="1"/>
    <col min="9487" max="9725" width="9.140625" style="57"/>
    <col min="9726" max="9726" width="11.7109375" style="57" bestFit="1" customWidth="1"/>
    <col min="9727" max="9727" width="93.140625" style="57" bestFit="1" customWidth="1"/>
    <col min="9728" max="9728" width="14.42578125" style="57" customWidth="1"/>
    <col min="9729" max="9729" width="14" style="57" customWidth="1"/>
    <col min="9730" max="9730" width="12.42578125" style="57" bestFit="1" customWidth="1"/>
    <col min="9731" max="9731" width="14.42578125" style="57" customWidth="1"/>
    <col min="9732" max="9732" width="14" style="57" customWidth="1"/>
    <col min="9733" max="9733" width="15.5703125" style="57" customWidth="1"/>
    <col min="9734" max="9734" width="14.42578125" style="57" customWidth="1"/>
    <col min="9735" max="9736" width="14" style="57" customWidth="1"/>
    <col min="9737" max="9742" width="0" style="57" hidden="1" customWidth="1"/>
    <col min="9743" max="9981" width="9.140625" style="57"/>
    <col min="9982" max="9982" width="11.7109375" style="57" bestFit="1" customWidth="1"/>
    <col min="9983" max="9983" width="93.140625" style="57" bestFit="1" customWidth="1"/>
    <col min="9984" max="9984" width="14.42578125" style="57" customWidth="1"/>
    <col min="9985" max="9985" width="14" style="57" customWidth="1"/>
    <col min="9986" max="9986" width="12.42578125" style="57" bestFit="1" customWidth="1"/>
    <col min="9987" max="9987" width="14.42578125" style="57" customWidth="1"/>
    <col min="9988" max="9988" width="14" style="57" customWidth="1"/>
    <col min="9989" max="9989" width="15.5703125" style="57" customWidth="1"/>
    <col min="9990" max="9990" width="14.42578125" style="57" customWidth="1"/>
    <col min="9991" max="9992" width="14" style="57" customWidth="1"/>
    <col min="9993" max="9998" width="0" style="57" hidden="1" customWidth="1"/>
    <col min="9999" max="10237" width="9.140625" style="57"/>
    <col min="10238" max="10238" width="11.7109375" style="57" bestFit="1" customWidth="1"/>
    <col min="10239" max="10239" width="93.140625" style="57" bestFit="1" customWidth="1"/>
    <col min="10240" max="10240" width="14.42578125" style="57" customWidth="1"/>
    <col min="10241" max="10241" width="14" style="57" customWidth="1"/>
    <col min="10242" max="10242" width="12.42578125" style="57" bestFit="1" customWidth="1"/>
    <col min="10243" max="10243" width="14.42578125" style="57" customWidth="1"/>
    <col min="10244" max="10244" width="14" style="57" customWidth="1"/>
    <col min="10245" max="10245" width="15.5703125" style="57" customWidth="1"/>
    <col min="10246" max="10246" width="14.42578125" style="57" customWidth="1"/>
    <col min="10247" max="10248" width="14" style="57" customWidth="1"/>
    <col min="10249" max="10254" width="0" style="57" hidden="1" customWidth="1"/>
    <col min="10255" max="10493" width="9.140625" style="57"/>
    <col min="10494" max="10494" width="11.7109375" style="57" bestFit="1" customWidth="1"/>
    <col min="10495" max="10495" width="93.140625" style="57" bestFit="1" customWidth="1"/>
    <col min="10496" max="10496" width="14.42578125" style="57" customWidth="1"/>
    <col min="10497" max="10497" width="14" style="57" customWidth="1"/>
    <col min="10498" max="10498" width="12.42578125" style="57" bestFit="1" customWidth="1"/>
    <col min="10499" max="10499" width="14.42578125" style="57" customWidth="1"/>
    <col min="10500" max="10500" width="14" style="57" customWidth="1"/>
    <col min="10501" max="10501" width="15.5703125" style="57" customWidth="1"/>
    <col min="10502" max="10502" width="14.42578125" style="57" customWidth="1"/>
    <col min="10503" max="10504" width="14" style="57" customWidth="1"/>
    <col min="10505" max="10510" width="0" style="57" hidden="1" customWidth="1"/>
    <col min="10511" max="10749" width="9.140625" style="57"/>
    <col min="10750" max="10750" width="11.7109375" style="57" bestFit="1" customWidth="1"/>
    <col min="10751" max="10751" width="93.140625" style="57" bestFit="1" customWidth="1"/>
    <col min="10752" max="10752" width="14.42578125" style="57" customWidth="1"/>
    <col min="10753" max="10753" width="14" style="57" customWidth="1"/>
    <col min="10754" max="10754" width="12.42578125" style="57" bestFit="1" customWidth="1"/>
    <col min="10755" max="10755" width="14.42578125" style="57" customWidth="1"/>
    <col min="10756" max="10756" width="14" style="57" customWidth="1"/>
    <col min="10757" max="10757" width="15.5703125" style="57" customWidth="1"/>
    <col min="10758" max="10758" width="14.42578125" style="57" customWidth="1"/>
    <col min="10759" max="10760" width="14" style="57" customWidth="1"/>
    <col min="10761" max="10766" width="0" style="57" hidden="1" customWidth="1"/>
    <col min="10767" max="11005" width="9.140625" style="57"/>
    <col min="11006" max="11006" width="11.7109375" style="57" bestFit="1" customWidth="1"/>
    <col min="11007" max="11007" width="93.140625" style="57" bestFit="1" customWidth="1"/>
    <col min="11008" max="11008" width="14.42578125" style="57" customWidth="1"/>
    <col min="11009" max="11009" width="14" style="57" customWidth="1"/>
    <col min="11010" max="11010" width="12.42578125" style="57" bestFit="1" customWidth="1"/>
    <col min="11011" max="11011" width="14.42578125" style="57" customWidth="1"/>
    <col min="11012" max="11012" width="14" style="57" customWidth="1"/>
    <col min="11013" max="11013" width="15.5703125" style="57" customWidth="1"/>
    <col min="11014" max="11014" width="14.42578125" style="57" customWidth="1"/>
    <col min="11015" max="11016" width="14" style="57" customWidth="1"/>
    <col min="11017" max="11022" width="0" style="57" hidden="1" customWidth="1"/>
    <col min="11023" max="11261" width="9.140625" style="57"/>
    <col min="11262" max="11262" width="11.7109375" style="57" bestFit="1" customWidth="1"/>
    <col min="11263" max="11263" width="93.140625" style="57" bestFit="1" customWidth="1"/>
    <col min="11264" max="11264" width="14.42578125" style="57" customWidth="1"/>
    <col min="11265" max="11265" width="14" style="57" customWidth="1"/>
    <col min="11266" max="11266" width="12.42578125" style="57" bestFit="1" customWidth="1"/>
    <col min="11267" max="11267" width="14.42578125" style="57" customWidth="1"/>
    <col min="11268" max="11268" width="14" style="57" customWidth="1"/>
    <col min="11269" max="11269" width="15.5703125" style="57" customWidth="1"/>
    <col min="11270" max="11270" width="14.42578125" style="57" customWidth="1"/>
    <col min="11271" max="11272" width="14" style="57" customWidth="1"/>
    <col min="11273" max="11278" width="0" style="57" hidden="1" customWidth="1"/>
    <col min="11279" max="11517" width="9.140625" style="57"/>
    <col min="11518" max="11518" width="11.7109375" style="57" bestFit="1" customWidth="1"/>
    <col min="11519" max="11519" width="93.140625" style="57" bestFit="1" customWidth="1"/>
    <col min="11520" max="11520" width="14.42578125" style="57" customWidth="1"/>
    <col min="11521" max="11521" width="14" style="57" customWidth="1"/>
    <col min="11522" max="11522" width="12.42578125" style="57" bestFit="1" customWidth="1"/>
    <col min="11523" max="11523" width="14.42578125" style="57" customWidth="1"/>
    <col min="11524" max="11524" width="14" style="57" customWidth="1"/>
    <col min="11525" max="11525" width="15.5703125" style="57" customWidth="1"/>
    <col min="11526" max="11526" width="14.42578125" style="57" customWidth="1"/>
    <col min="11527" max="11528" width="14" style="57" customWidth="1"/>
    <col min="11529" max="11534" width="0" style="57" hidden="1" customWidth="1"/>
    <col min="11535" max="11773" width="9.140625" style="57"/>
    <col min="11774" max="11774" width="11.7109375" style="57" bestFit="1" customWidth="1"/>
    <col min="11775" max="11775" width="93.140625" style="57" bestFit="1" customWidth="1"/>
    <col min="11776" max="11776" width="14.42578125" style="57" customWidth="1"/>
    <col min="11777" max="11777" width="14" style="57" customWidth="1"/>
    <col min="11778" max="11778" width="12.42578125" style="57" bestFit="1" customWidth="1"/>
    <col min="11779" max="11779" width="14.42578125" style="57" customWidth="1"/>
    <col min="11780" max="11780" width="14" style="57" customWidth="1"/>
    <col min="11781" max="11781" width="15.5703125" style="57" customWidth="1"/>
    <col min="11782" max="11782" width="14.42578125" style="57" customWidth="1"/>
    <col min="11783" max="11784" width="14" style="57" customWidth="1"/>
    <col min="11785" max="11790" width="0" style="57" hidden="1" customWidth="1"/>
    <col min="11791" max="12029" width="9.140625" style="57"/>
    <col min="12030" max="12030" width="11.7109375" style="57" bestFit="1" customWidth="1"/>
    <col min="12031" max="12031" width="93.140625" style="57" bestFit="1" customWidth="1"/>
    <col min="12032" max="12032" width="14.42578125" style="57" customWidth="1"/>
    <col min="12033" max="12033" width="14" style="57" customWidth="1"/>
    <col min="12034" max="12034" width="12.42578125" style="57" bestFit="1" customWidth="1"/>
    <col min="12035" max="12035" width="14.42578125" style="57" customWidth="1"/>
    <col min="12036" max="12036" width="14" style="57" customWidth="1"/>
    <col min="12037" max="12037" width="15.5703125" style="57" customWidth="1"/>
    <col min="12038" max="12038" width="14.42578125" style="57" customWidth="1"/>
    <col min="12039" max="12040" width="14" style="57" customWidth="1"/>
    <col min="12041" max="12046" width="0" style="57" hidden="1" customWidth="1"/>
    <col min="12047" max="12285" width="9.140625" style="57"/>
    <col min="12286" max="12286" width="11.7109375" style="57" bestFit="1" customWidth="1"/>
    <col min="12287" max="12287" width="93.140625" style="57" bestFit="1" customWidth="1"/>
    <col min="12288" max="12288" width="14.42578125" style="57" customWidth="1"/>
    <col min="12289" max="12289" width="14" style="57" customWidth="1"/>
    <col min="12290" max="12290" width="12.42578125" style="57" bestFit="1" customWidth="1"/>
    <col min="12291" max="12291" width="14.42578125" style="57" customWidth="1"/>
    <col min="12292" max="12292" width="14" style="57" customWidth="1"/>
    <col min="12293" max="12293" width="15.5703125" style="57" customWidth="1"/>
    <col min="12294" max="12294" width="14.42578125" style="57" customWidth="1"/>
    <col min="12295" max="12296" width="14" style="57" customWidth="1"/>
    <col min="12297" max="12302" width="0" style="57" hidden="1" customWidth="1"/>
    <col min="12303" max="12541" width="9.140625" style="57"/>
    <col min="12542" max="12542" width="11.7109375" style="57" bestFit="1" customWidth="1"/>
    <col min="12543" max="12543" width="93.140625" style="57" bestFit="1" customWidth="1"/>
    <col min="12544" max="12544" width="14.42578125" style="57" customWidth="1"/>
    <col min="12545" max="12545" width="14" style="57" customWidth="1"/>
    <col min="12546" max="12546" width="12.42578125" style="57" bestFit="1" customWidth="1"/>
    <col min="12547" max="12547" width="14.42578125" style="57" customWidth="1"/>
    <col min="12548" max="12548" width="14" style="57" customWidth="1"/>
    <col min="12549" max="12549" width="15.5703125" style="57" customWidth="1"/>
    <col min="12550" max="12550" width="14.42578125" style="57" customWidth="1"/>
    <col min="12551" max="12552" width="14" style="57" customWidth="1"/>
    <col min="12553" max="12558" width="0" style="57" hidden="1" customWidth="1"/>
    <col min="12559" max="12797" width="9.140625" style="57"/>
    <col min="12798" max="12798" width="11.7109375" style="57" bestFit="1" customWidth="1"/>
    <col min="12799" max="12799" width="93.140625" style="57" bestFit="1" customWidth="1"/>
    <col min="12800" max="12800" width="14.42578125" style="57" customWidth="1"/>
    <col min="12801" max="12801" width="14" style="57" customWidth="1"/>
    <col min="12802" max="12802" width="12.42578125" style="57" bestFit="1" customWidth="1"/>
    <col min="12803" max="12803" width="14.42578125" style="57" customWidth="1"/>
    <col min="12804" max="12804" width="14" style="57" customWidth="1"/>
    <col min="12805" max="12805" width="15.5703125" style="57" customWidth="1"/>
    <col min="12806" max="12806" width="14.42578125" style="57" customWidth="1"/>
    <col min="12807" max="12808" width="14" style="57" customWidth="1"/>
    <col min="12809" max="12814" width="0" style="57" hidden="1" customWidth="1"/>
    <col min="12815" max="13053" width="9.140625" style="57"/>
    <col min="13054" max="13054" width="11.7109375" style="57" bestFit="1" customWidth="1"/>
    <col min="13055" max="13055" width="93.140625" style="57" bestFit="1" customWidth="1"/>
    <col min="13056" max="13056" width="14.42578125" style="57" customWidth="1"/>
    <col min="13057" max="13057" width="14" style="57" customWidth="1"/>
    <col min="13058" max="13058" width="12.42578125" style="57" bestFit="1" customWidth="1"/>
    <col min="13059" max="13059" width="14.42578125" style="57" customWidth="1"/>
    <col min="13060" max="13060" width="14" style="57" customWidth="1"/>
    <col min="13061" max="13061" width="15.5703125" style="57" customWidth="1"/>
    <col min="13062" max="13062" width="14.42578125" style="57" customWidth="1"/>
    <col min="13063" max="13064" width="14" style="57" customWidth="1"/>
    <col min="13065" max="13070" width="0" style="57" hidden="1" customWidth="1"/>
    <col min="13071" max="13309" width="9.140625" style="57"/>
    <col min="13310" max="13310" width="11.7109375" style="57" bestFit="1" customWidth="1"/>
    <col min="13311" max="13311" width="93.140625" style="57" bestFit="1" customWidth="1"/>
    <col min="13312" max="13312" width="14.42578125" style="57" customWidth="1"/>
    <col min="13313" max="13313" width="14" style="57" customWidth="1"/>
    <col min="13314" max="13314" width="12.42578125" style="57" bestFit="1" customWidth="1"/>
    <col min="13315" max="13315" width="14.42578125" style="57" customWidth="1"/>
    <col min="13316" max="13316" width="14" style="57" customWidth="1"/>
    <col min="13317" max="13317" width="15.5703125" style="57" customWidth="1"/>
    <col min="13318" max="13318" width="14.42578125" style="57" customWidth="1"/>
    <col min="13319" max="13320" width="14" style="57" customWidth="1"/>
    <col min="13321" max="13326" width="0" style="57" hidden="1" customWidth="1"/>
    <col min="13327" max="13565" width="9.140625" style="57"/>
    <col min="13566" max="13566" width="11.7109375" style="57" bestFit="1" customWidth="1"/>
    <col min="13567" max="13567" width="93.140625" style="57" bestFit="1" customWidth="1"/>
    <col min="13568" max="13568" width="14.42578125" style="57" customWidth="1"/>
    <col min="13569" max="13569" width="14" style="57" customWidth="1"/>
    <col min="13570" max="13570" width="12.42578125" style="57" bestFit="1" customWidth="1"/>
    <col min="13571" max="13571" width="14.42578125" style="57" customWidth="1"/>
    <col min="13572" max="13572" width="14" style="57" customWidth="1"/>
    <col min="13573" max="13573" width="15.5703125" style="57" customWidth="1"/>
    <col min="13574" max="13574" width="14.42578125" style="57" customWidth="1"/>
    <col min="13575" max="13576" width="14" style="57" customWidth="1"/>
    <col min="13577" max="13582" width="0" style="57" hidden="1" customWidth="1"/>
    <col min="13583" max="13821" width="9.140625" style="57"/>
    <col min="13822" max="13822" width="11.7109375" style="57" bestFit="1" customWidth="1"/>
    <col min="13823" max="13823" width="93.140625" style="57" bestFit="1" customWidth="1"/>
    <col min="13824" max="13824" width="14.42578125" style="57" customWidth="1"/>
    <col min="13825" max="13825" width="14" style="57" customWidth="1"/>
    <col min="13826" max="13826" width="12.42578125" style="57" bestFit="1" customWidth="1"/>
    <col min="13827" max="13827" width="14.42578125" style="57" customWidth="1"/>
    <col min="13828" max="13828" width="14" style="57" customWidth="1"/>
    <col min="13829" max="13829" width="15.5703125" style="57" customWidth="1"/>
    <col min="13830" max="13830" width="14.42578125" style="57" customWidth="1"/>
    <col min="13831" max="13832" width="14" style="57" customWidth="1"/>
    <col min="13833" max="13838" width="0" style="57" hidden="1" customWidth="1"/>
    <col min="13839" max="14077" width="9.140625" style="57"/>
    <col min="14078" max="14078" width="11.7109375" style="57" bestFit="1" customWidth="1"/>
    <col min="14079" max="14079" width="93.140625" style="57" bestFit="1" customWidth="1"/>
    <col min="14080" max="14080" width="14.42578125" style="57" customWidth="1"/>
    <col min="14081" max="14081" width="14" style="57" customWidth="1"/>
    <col min="14082" max="14082" width="12.42578125" style="57" bestFit="1" customWidth="1"/>
    <col min="14083" max="14083" width="14.42578125" style="57" customWidth="1"/>
    <col min="14084" max="14084" width="14" style="57" customWidth="1"/>
    <col min="14085" max="14085" width="15.5703125" style="57" customWidth="1"/>
    <col min="14086" max="14086" width="14.42578125" style="57" customWidth="1"/>
    <col min="14087" max="14088" width="14" style="57" customWidth="1"/>
    <col min="14089" max="14094" width="0" style="57" hidden="1" customWidth="1"/>
    <col min="14095" max="14333" width="9.140625" style="57"/>
    <col min="14334" max="14334" width="11.7109375" style="57" bestFit="1" customWidth="1"/>
    <col min="14335" max="14335" width="93.140625" style="57" bestFit="1" customWidth="1"/>
    <col min="14336" max="14336" width="14.42578125" style="57" customWidth="1"/>
    <col min="14337" max="14337" width="14" style="57" customWidth="1"/>
    <col min="14338" max="14338" width="12.42578125" style="57" bestFit="1" customWidth="1"/>
    <col min="14339" max="14339" width="14.42578125" style="57" customWidth="1"/>
    <col min="14340" max="14340" width="14" style="57" customWidth="1"/>
    <col min="14341" max="14341" width="15.5703125" style="57" customWidth="1"/>
    <col min="14342" max="14342" width="14.42578125" style="57" customWidth="1"/>
    <col min="14343" max="14344" width="14" style="57" customWidth="1"/>
    <col min="14345" max="14350" width="0" style="57" hidden="1" customWidth="1"/>
    <col min="14351" max="14589" width="9.140625" style="57"/>
    <col min="14590" max="14590" width="11.7109375" style="57" bestFit="1" customWidth="1"/>
    <col min="14591" max="14591" width="93.140625" style="57" bestFit="1" customWidth="1"/>
    <col min="14592" max="14592" width="14.42578125" style="57" customWidth="1"/>
    <col min="14593" max="14593" width="14" style="57" customWidth="1"/>
    <col min="14594" max="14594" width="12.42578125" style="57" bestFit="1" customWidth="1"/>
    <col min="14595" max="14595" width="14.42578125" style="57" customWidth="1"/>
    <col min="14596" max="14596" width="14" style="57" customWidth="1"/>
    <col min="14597" max="14597" width="15.5703125" style="57" customWidth="1"/>
    <col min="14598" max="14598" width="14.42578125" style="57" customWidth="1"/>
    <col min="14599" max="14600" width="14" style="57" customWidth="1"/>
    <col min="14601" max="14606" width="0" style="57" hidden="1" customWidth="1"/>
    <col min="14607" max="14845" width="9.140625" style="57"/>
    <col min="14846" max="14846" width="11.7109375" style="57" bestFit="1" customWidth="1"/>
    <col min="14847" max="14847" width="93.140625" style="57" bestFit="1" customWidth="1"/>
    <col min="14848" max="14848" width="14.42578125" style="57" customWidth="1"/>
    <col min="14849" max="14849" width="14" style="57" customWidth="1"/>
    <col min="14850" max="14850" width="12.42578125" style="57" bestFit="1" customWidth="1"/>
    <col min="14851" max="14851" width="14.42578125" style="57" customWidth="1"/>
    <col min="14852" max="14852" width="14" style="57" customWidth="1"/>
    <col min="14853" max="14853" width="15.5703125" style="57" customWidth="1"/>
    <col min="14854" max="14854" width="14.42578125" style="57" customWidth="1"/>
    <col min="14855" max="14856" width="14" style="57" customWidth="1"/>
    <col min="14857" max="14862" width="0" style="57" hidden="1" customWidth="1"/>
    <col min="14863" max="15101" width="9.140625" style="57"/>
    <col min="15102" max="15102" width="11.7109375" style="57" bestFit="1" customWidth="1"/>
    <col min="15103" max="15103" width="93.140625" style="57" bestFit="1" customWidth="1"/>
    <col min="15104" max="15104" width="14.42578125" style="57" customWidth="1"/>
    <col min="15105" max="15105" width="14" style="57" customWidth="1"/>
    <col min="15106" max="15106" width="12.42578125" style="57" bestFit="1" customWidth="1"/>
    <col min="15107" max="15107" width="14.42578125" style="57" customWidth="1"/>
    <col min="15108" max="15108" width="14" style="57" customWidth="1"/>
    <col min="15109" max="15109" width="15.5703125" style="57" customWidth="1"/>
    <col min="15110" max="15110" width="14.42578125" style="57" customWidth="1"/>
    <col min="15111" max="15112" width="14" style="57" customWidth="1"/>
    <col min="15113" max="15118" width="0" style="57" hidden="1" customWidth="1"/>
    <col min="15119" max="15357" width="9.140625" style="57"/>
    <col min="15358" max="15358" width="11.7109375" style="57" bestFit="1" customWidth="1"/>
    <col min="15359" max="15359" width="93.140625" style="57" bestFit="1" customWidth="1"/>
    <col min="15360" max="15360" width="14.42578125" style="57" customWidth="1"/>
    <col min="15361" max="15361" width="14" style="57" customWidth="1"/>
    <col min="15362" max="15362" width="12.42578125" style="57" bestFit="1" customWidth="1"/>
    <col min="15363" max="15363" width="14.42578125" style="57" customWidth="1"/>
    <col min="15364" max="15364" width="14" style="57" customWidth="1"/>
    <col min="15365" max="15365" width="15.5703125" style="57" customWidth="1"/>
    <col min="15366" max="15366" width="14.42578125" style="57" customWidth="1"/>
    <col min="15367" max="15368" width="14" style="57" customWidth="1"/>
    <col min="15369" max="15374" width="0" style="57" hidden="1" customWidth="1"/>
    <col min="15375" max="15613" width="9.140625" style="57"/>
    <col min="15614" max="15614" width="11.7109375" style="57" bestFit="1" customWidth="1"/>
    <col min="15615" max="15615" width="93.140625" style="57" bestFit="1" customWidth="1"/>
    <col min="15616" max="15616" width="14.42578125" style="57" customWidth="1"/>
    <col min="15617" max="15617" width="14" style="57" customWidth="1"/>
    <col min="15618" max="15618" width="12.42578125" style="57" bestFit="1" customWidth="1"/>
    <col min="15619" max="15619" width="14.42578125" style="57" customWidth="1"/>
    <col min="15620" max="15620" width="14" style="57" customWidth="1"/>
    <col min="15621" max="15621" width="15.5703125" style="57" customWidth="1"/>
    <col min="15622" max="15622" width="14.42578125" style="57" customWidth="1"/>
    <col min="15623" max="15624" width="14" style="57" customWidth="1"/>
    <col min="15625" max="15630" width="0" style="57" hidden="1" customWidth="1"/>
    <col min="15631" max="15869" width="9.140625" style="57"/>
    <col min="15870" max="15870" width="11.7109375" style="57" bestFit="1" customWidth="1"/>
    <col min="15871" max="15871" width="93.140625" style="57" bestFit="1" customWidth="1"/>
    <col min="15872" max="15872" width="14.42578125" style="57" customWidth="1"/>
    <col min="15873" max="15873" width="14" style="57" customWidth="1"/>
    <col min="15874" max="15874" width="12.42578125" style="57" bestFit="1" customWidth="1"/>
    <col min="15875" max="15875" width="14.42578125" style="57" customWidth="1"/>
    <col min="15876" max="15876" width="14" style="57" customWidth="1"/>
    <col min="15877" max="15877" width="15.5703125" style="57" customWidth="1"/>
    <col min="15878" max="15878" width="14.42578125" style="57" customWidth="1"/>
    <col min="15879" max="15880" width="14" style="57" customWidth="1"/>
    <col min="15881" max="15886" width="0" style="57" hidden="1" customWidth="1"/>
    <col min="15887" max="16125" width="9.140625" style="57"/>
    <col min="16126" max="16126" width="11.7109375" style="57" bestFit="1" customWidth="1"/>
    <col min="16127" max="16127" width="93.140625" style="57" bestFit="1" customWidth="1"/>
    <col min="16128" max="16128" width="14.42578125" style="57" customWidth="1"/>
    <col min="16129" max="16129" width="14" style="57" customWidth="1"/>
    <col min="16130" max="16130" width="12.42578125" style="57" bestFit="1" customWidth="1"/>
    <col min="16131" max="16131" width="14.42578125" style="57" customWidth="1"/>
    <col min="16132" max="16132" width="14" style="57" customWidth="1"/>
    <col min="16133" max="16133" width="15.5703125" style="57" customWidth="1"/>
    <col min="16134" max="16134" width="14.42578125" style="57" customWidth="1"/>
    <col min="16135" max="16136" width="14" style="57" customWidth="1"/>
    <col min="16137" max="16142" width="0" style="57" hidden="1" customWidth="1"/>
    <col min="16143" max="16384" width="9.140625" style="57"/>
  </cols>
  <sheetData>
    <row r="1" spans="1:20" ht="15">
      <c r="B1" s="58"/>
      <c r="D1" s="59"/>
      <c r="E1" s="60"/>
      <c r="G1" s="59"/>
      <c r="H1" s="60"/>
      <c r="J1" s="272" t="s">
        <v>125</v>
      </c>
      <c r="K1" s="272"/>
      <c r="L1" s="272"/>
      <c r="M1" s="272"/>
      <c r="N1" s="272"/>
      <c r="O1" s="272"/>
      <c r="P1" s="272"/>
      <c r="Q1" s="272"/>
      <c r="R1" s="272"/>
      <c r="S1" s="272"/>
      <c r="T1" s="272"/>
    </row>
    <row r="2" spans="1:20" ht="15">
      <c r="B2" s="58"/>
      <c r="D2" s="59"/>
      <c r="E2" s="60"/>
      <c r="G2" s="59"/>
      <c r="H2" s="60"/>
      <c r="J2" s="61"/>
      <c r="K2" s="211"/>
      <c r="L2" s="211"/>
      <c r="M2" s="211"/>
      <c r="N2" s="211"/>
      <c r="O2" s="211"/>
      <c r="P2" s="211"/>
      <c r="Q2" s="211"/>
      <c r="R2" s="211"/>
      <c r="S2" s="211"/>
      <c r="T2" s="211" t="s">
        <v>111</v>
      </c>
    </row>
    <row r="3" spans="1:20" ht="14.25">
      <c r="B3" s="58"/>
      <c r="D3" s="59"/>
      <c r="E3" s="60"/>
      <c r="G3" s="59"/>
      <c r="H3" s="60"/>
      <c r="J3" s="275"/>
      <c r="K3" s="275"/>
      <c r="L3" s="275"/>
      <c r="M3" s="275"/>
      <c r="N3" s="275"/>
      <c r="S3" s="59"/>
      <c r="T3" s="60" t="s">
        <v>112</v>
      </c>
    </row>
    <row r="4" spans="1:20" ht="13.5" thickBot="1">
      <c r="A4" s="62"/>
      <c r="B4" s="58"/>
    </row>
    <row r="5" spans="1:20" ht="16.5" thickBot="1">
      <c r="A5" s="250" t="s">
        <v>0</v>
      </c>
      <c r="B5" s="253" t="s">
        <v>1</v>
      </c>
      <c r="C5" s="256" t="s">
        <v>82</v>
      </c>
      <c r="D5" s="257"/>
      <c r="E5" s="258"/>
      <c r="F5" s="257" t="s">
        <v>83</v>
      </c>
      <c r="G5" s="257"/>
      <c r="H5" s="258"/>
      <c r="I5" s="256" t="s">
        <v>84</v>
      </c>
      <c r="J5" s="257"/>
      <c r="K5" s="258"/>
      <c r="L5" s="256" t="s">
        <v>85</v>
      </c>
      <c r="M5" s="257"/>
      <c r="N5" s="258"/>
      <c r="O5" s="256"/>
      <c r="P5" s="257"/>
      <c r="Q5" s="258"/>
      <c r="R5" s="256" t="s">
        <v>107</v>
      </c>
      <c r="S5" s="257"/>
      <c r="T5" s="258"/>
    </row>
    <row r="6" spans="1:20" ht="13.5" customHeight="1">
      <c r="A6" s="251"/>
      <c r="B6" s="254"/>
      <c r="C6" s="259" t="s">
        <v>86</v>
      </c>
      <c r="D6" s="260"/>
      <c r="E6" s="261"/>
      <c r="F6" s="265" t="s">
        <v>87</v>
      </c>
      <c r="G6" s="260"/>
      <c r="H6" s="261"/>
      <c r="I6" s="259" t="s">
        <v>88</v>
      </c>
      <c r="J6" s="260"/>
      <c r="K6" s="261"/>
      <c r="L6" s="259" t="s">
        <v>89</v>
      </c>
      <c r="M6" s="260"/>
      <c r="N6" s="261"/>
      <c r="O6" s="259"/>
      <c r="P6" s="260"/>
      <c r="Q6" s="261"/>
      <c r="R6" s="259" t="s">
        <v>97</v>
      </c>
      <c r="S6" s="260"/>
      <c r="T6" s="261"/>
    </row>
    <row r="7" spans="1:20" ht="45.75" customHeight="1" thickBot="1">
      <c r="A7" s="251"/>
      <c r="B7" s="254"/>
      <c r="C7" s="262"/>
      <c r="D7" s="263"/>
      <c r="E7" s="264"/>
      <c r="F7" s="263"/>
      <c r="G7" s="263"/>
      <c r="H7" s="264"/>
      <c r="I7" s="262"/>
      <c r="J7" s="263"/>
      <c r="K7" s="264"/>
      <c r="L7" s="262"/>
      <c r="M7" s="263"/>
      <c r="N7" s="264"/>
      <c r="O7" s="262"/>
      <c r="P7" s="263"/>
      <c r="Q7" s="264"/>
      <c r="R7" s="262"/>
      <c r="S7" s="263"/>
      <c r="T7" s="264"/>
    </row>
    <row r="8" spans="1:20" ht="20.25" customHeight="1">
      <c r="A8" s="251"/>
      <c r="B8" s="254"/>
      <c r="C8" s="237" t="s">
        <v>115</v>
      </c>
      <c r="D8" s="239" t="s">
        <v>109</v>
      </c>
      <c r="E8" s="231" t="s">
        <v>110</v>
      </c>
      <c r="F8" s="237" t="s">
        <v>115</v>
      </c>
      <c r="G8" s="239" t="s">
        <v>109</v>
      </c>
      <c r="H8" s="231" t="s">
        <v>110</v>
      </c>
      <c r="I8" s="237" t="s">
        <v>115</v>
      </c>
      <c r="J8" s="239" t="s">
        <v>109</v>
      </c>
      <c r="K8" s="231" t="s">
        <v>110</v>
      </c>
      <c r="L8" s="237" t="s">
        <v>115</v>
      </c>
      <c r="M8" s="239" t="s">
        <v>109</v>
      </c>
      <c r="N8" s="231" t="s">
        <v>110</v>
      </c>
      <c r="O8" s="270" t="s">
        <v>90</v>
      </c>
      <c r="P8" s="268" t="s">
        <v>91</v>
      </c>
      <c r="Q8" s="273" t="s">
        <v>92</v>
      </c>
      <c r="R8" s="270" t="s">
        <v>108</v>
      </c>
      <c r="S8" s="268" t="s">
        <v>109</v>
      </c>
      <c r="T8" s="273" t="s">
        <v>110</v>
      </c>
    </row>
    <row r="9" spans="1:20" ht="42.75" customHeight="1" thickBot="1">
      <c r="A9" s="252"/>
      <c r="B9" s="255"/>
      <c r="C9" s="238"/>
      <c r="D9" s="240"/>
      <c r="E9" s="232"/>
      <c r="F9" s="238"/>
      <c r="G9" s="240"/>
      <c r="H9" s="232"/>
      <c r="I9" s="238"/>
      <c r="J9" s="240"/>
      <c r="K9" s="232"/>
      <c r="L9" s="238"/>
      <c r="M9" s="240"/>
      <c r="N9" s="232"/>
      <c r="O9" s="271"/>
      <c r="P9" s="269"/>
      <c r="Q9" s="274"/>
      <c r="R9" s="271"/>
      <c r="S9" s="269"/>
      <c r="T9" s="274"/>
    </row>
    <row r="10" spans="1:20" ht="16.5" thickBot="1">
      <c r="A10" s="266" t="s">
        <v>2</v>
      </c>
      <c r="B10" s="267"/>
      <c r="C10" s="64">
        <v>61</v>
      </c>
      <c r="D10" s="65">
        <f>C10+1</f>
        <v>62</v>
      </c>
      <c r="E10" s="66">
        <f t="shared" ref="E10:T10" si="0">D10+1</f>
        <v>63</v>
      </c>
      <c r="F10" s="67">
        <f t="shared" si="0"/>
        <v>64</v>
      </c>
      <c r="G10" s="65">
        <f t="shared" si="0"/>
        <v>65</v>
      </c>
      <c r="H10" s="66">
        <f t="shared" si="0"/>
        <v>66</v>
      </c>
      <c r="I10" s="64">
        <f t="shared" si="0"/>
        <v>67</v>
      </c>
      <c r="J10" s="65">
        <f t="shared" si="0"/>
        <v>68</v>
      </c>
      <c r="K10" s="66">
        <f t="shared" si="0"/>
        <v>69</v>
      </c>
      <c r="L10" s="64">
        <f t="shared" si="0"/>
        <v>70</v>
      </c>
      <c r="M10" s="65">
        <f t="shared" si="0"/>
        <v>71</v>
      </c>
      <c r="N10" s="66">
        <f t="shared" si="0"/>
        <v>72</v>
      </c>
      <c r="O10" s="64">
        <f t="shared" si="0"/>
        <v>73</v>
      </c>
      <c r="P10" s="65">
        <f t="shared" si="0"/>
        <v>74</v>
      </c>
      <c r="Q10" s="66">
        <f t="shared" si="0"/>
        <v>75</v>
      </c>
      <c r="R10" s="64">
        <f t="shared" si="0"/>
        <v>76</v>
      </c>
      <c r="S10" s="65">
        <f t="shared" si="0"/>
        <v>77</v>
      </c>
      <c r="T10" s="66">
        <f t="shared" si="0"/>
        <v>78</v>
      </c>
    </row>
    <row r="11" spans="1:20" ht="15.75">
      <c r="A11" s="1">
        <v>1</v>
      </c>
      <c r="B11" s="21" t="s">
        <v>3</v>
      </c>
      <c r="C11" s="69">
        <f>69283+3510+468</f>
        <v>73261</v>
      </c>
      <c r="D11" s="69"/>
      <c r="E11" s="161">
        <f>SUM(C11:D11)</f>
        <v>73261</v>
      </c>
      <c r="F11" s="69">
        <f>172697+7216+2091</f>
        <v>182004</v>
      </c>
      <c r="G11" s="69">
        <f>-91-2990+600</f>
        <v>-2481</v>
      </c>
      <c r="H11" s="179">
        <f>SUM(F11:G11)</f>
        <v>179523</v>
      </c>
      <c r="I11" s="69">
        <f>66843+1839+319</f>
        <v>69001</v>
      </c>
      <c r="J11" s="69">
        <v>-2977</v>
      </c>
      <c r="K11" s="179">
        <f>SUM(I11:J11)</f>
        <v>66024</v>
      </c>
      <c r="L11" s="68"/>
      <c r="M11" s="69"/>
      <c r="N11" s="71"/>
      <c r="O11" s="70"/>
      <c r="P11" s="69"/>
      <c r="Q11" s="71"/>
      <c r="R11" s="68">
        <f>SUM(C11,F11,I11)</f>
        <v>324266</v>
      </c>
      <c r="S11" s="69">
        <f>SUM(D11,G11,J11)</f>
        <v>-5458</v>
      </c>
      <c r="T11" s="162">
        <f>SUM(E11,H11,K11)</f>
        <v>318808</v>
      </c>
    </row>
    <row r="12" spans="1:20" ht="15.75">
      <c r="A12" s="2">
        <v>2</v>
      </c>
      <c r="B12" s="15" t="s">
        <v>4</v>
      </c>
      <c r="C12" s="73">
        <f>17637+948</f>
        <v>18585</v>
      </c>
      <c r="D12" s="73"/>
      <c r="E12" s="162">
        <f t="shared" ref="E12:E64" si="1">SUM(C12:D12)</f>
        <v>18585</v>
      </c>
      <c r="F12" s="73">
        <f>45308+1948+284</f>
        <v>47540</v>
      </c>
      <c r="G12" s="73">
        <f>-25-807+162</f>
        <v>-670</v>
      </c>
      <c r="H12" s="166">
        <f t="shared" ref="H12:H64" si="2">SUM(F12:G12)</f>
        <v>46870</v>
      </c>
      <c r="I12" s="73">
        <f>17618+495</f>
        <v>18113</v>
      </c>
      <c r="J12" s="73">
        <v>-810</v>
      </c>
      <c r="K12" s="166">
        <f t="shared" ref="K12:K64" si="3">SUM(I12:J12)</f>
        <v>17303</v>
      </c>
      <c r="L12" s="72"/>
      <c r="M12" s="73"/>
      <c r="N12" s="75"/>
      <c r="O12" s="74"/>
      <c r="P12" s="73"/>
      <c r="Q12" s="75"/>
      <c r="R12" s="72">
        <f t="shared" ref="R12:R64" si="4">SUM(C12,F12,I12)</f>
        <v>84238</v>
      </c>
      <c r="S12" s="73">
        <f t="shared" ref="S12:S64" si="5">SUM(D12,G12,J12)</f>
        <v>-1480</v>
      </c>
      <c r="T12" s="162">
        <f t="shared" ref="T12:T64" si="6">SUM(E12,H12,K12)</f>
        <v>82758</v>
      </c>
    </row>
    <row r="13" spans="1:20" ht="15.75">
      <c r="A13" s="2">
        <v>3</v>
      </c>
      <c r="B13" s="22" t="s">
        <v>5</v>
      </c>
      <c r="C13" s="73">
        <f>64597+7508+49+360</f>
        <v>72514</v>
      </c>
      <c r="D13" s="73"/>
      <c r="E13" s="162">
        <f t="shared" si="1"/>
        <v>72514</v>
      </c>
      <c r="F13" s="73">
        <f>124351+13613+250+890</f>
        <v>139104</v>
      </c>
      <c r="G13" s="73">
        <v>3797</v>
      </c>
      <c r="H13" s="167">
        <f t="shared" si="2"/>
        <v>142901</v>
      </c>
      <c r="I13" s="73">
        <f>53262+2529</f>
        <v>55791</v>
      </c>
      <c r="J13" s="73"/>
      <c r="K13" s="167">
        <f t="shared" si="3"/>
        <v>55791</v>
      </c>
      <c r="L13" s="76"/>
      <c r="M13" s="73"/>
      <c r="N13" s="78"/>
      <c r="O13" s="77"/>
      <c r="P13" s="73"/>
      <c r="Q13" s="78"/>
      <c r="R13" s="76">
        <f t="shared" si="4"/>
        <v>267409</v>
      </c>
      <c r="S13" s="73">
        <f t="shared" si="5"/>
        <v>3797</v>
      </c>
      <c r="T13" s="162">
        <f t="shared" si="6"/>
        <v>271206</v>
      </c>
    </row>
    <row r="14" spans="1:20" ht="15.75">
      <c r="A14" s="3">
        <v>4</v>
      </c>
      <c r="B14" s="23" t="s">
        <v>6</v>
      </c>
      <c r="C14" s="79">
        <f>742+207</f>
        <v>949</v>
      </c>
      <c r="D14" s="79"/>
      <c r="E14" s="162">
        <f t="shared" si="1"/>
        <v>949</v>
      </c>
      <c r="F14" s="79">
        <f>1677+370</f>
        <v>2047</v>
      </c>
      <c r="G14" s="79">
        <v>230</v>
      </c>
      <c r="H14" s="166">
        <f t="shared" si="2"/>
        <v>2277</v>
      </c>
      <c r="I14" s="79">
        <f>12192+80</f>
        <v>12272</v>
      </c>
      <c r="J14" s="79">
        <v>3787</v>
      </c>
      <c r="K14" s="166">
        <f t="shared" si="3"/>
        <v>16059</v>
      </c>
      <c r="L14" s="68"/>
      <c r="M14" s="79"/>
      <c r="N14" s="75"/>
      <c r="O14" s="70"/>
      <c r="P14" s="79"/>
      <c r="Q14" s="75"/>
      <c r="R14" s="68">
        <f t="shared" si="4"/>
        <v>15268</v>
      </c>
      <c r="S14" s="79">
        <f t="shared" si="5"/>
        <v>4017</v>
      </c>
      <c r="T14" s="162">
        <f t="shared" si="6"/>
        <v>19285</v>
      </c>
    </row>
    <row r="15" spans="1:20" ht="15.75">
      <c r="A15" s="2">
        <v>5</v>
      </c>
      <c r="B15" s="24" t="s">
        <v>7</v>
      </c>
      <c r="C15" s="79">
        <f>SUM(C13:C14)</f>
        <v>73463</v>
      </c>
      <c r="D15" s="79">
        <f>SUM(D13:D14)</f>
        <v>0</v>
      </c>
      <c r="E15" s="162">
        <f t="shared" si="1"/>
        <v>73463</v>
      </c>
      <c r="F15" s="79">
        <f>SUM(F13:F14)</f>
        <v>141151</v>
      </c>
      <c r="G15" s="79">
        <f>SUM(G13:G14)</f>
        <v>4027</v>
      </c>
      <c r="H15" s="165">
        <f t="shared" si="2"/>
        <v>145178</v>
      </c>
      <c r="I15" s="79">
        <f>SUM(I13:I14)</f>
        <v>68063</v>
      </c>
      <c r="J15" s="79">
        <f>SUM(J13:J14)</f>
        <v>3787</v>
      </c>
      <c r="K15" s="165">
        <f t="shared" si="3"/>
        <v>71850</v>
      </c>
      <c r="L15" s="80"/>
      <c r="M15" s="79"/>
      <c r="N15" s="82"/>
      <c r="O15" s="81"/>
      <c r="P15" s="79"/>
      <c r="Q15" s="82"/>
      <c r="R15" s="80">
        <f t="shared" si="4"/>
        <v>282677</v>
      </c>
      <c r="S15" s="79">
        <f t="shared" si="5"/>
        <v>7814</v>
      </c>
      <c r="T15" s="162">
        <f t="shared" si="6"/>
        <v>290491</v>
      </c>
    </row>
    <row r="16" spans="1:20" ht="16.5" thickBot="1">
      <c r="A16" s="4">
        <v>6</v>
      </c>
      <c r="B16" s="16" t="s">
        <v>8</v>
      </c>
      <c r="C16" s="84">
        <f>44640+7146</f>
        <v>51786</v>
      </c>
      <c r="D16" s="84"/>
      <c r="E16" s="163">
        <f t="shared" si="1"/>
        <v>51786</v>
      </c>
      <c r="F16" s="84">
        <f>70239+11749</f>
        <v>81988</v>
      </c>
      <c r="G16" s="84"/>
      <c r="H16" s="165">
        <f t="shared" si="2"/>
        <v>81988</v>
      </c>
      <c r="I16" s="84"/>
      <c r="J16" s="84"/>
      <c r="K16" s="165">
        <f t="shared" si="3"/>
        <v>0</v>
      </c>
      <c r="L16" s="83"/>
      <c r="M16" s="84"/>
      <c r="N16" s="82"/>
      <c r="O16" s="85"/>
      <c r="P16" s="84"/>
      <c r="Q16" s="82"/>
      <c r="R16" s="83">
        <f t="shared" si="4"/>
        <v>133774</v>
      </c>
      <c r="S16" s="84">
        <f t="shared" si="5"/>
        <v>0</v>
      </c>
      <c r="T16" s="163">
        <f t="shared" si="6"/>
        <v>133774</v>
      </c>
    </row>
    <row r="17" spans="1:20" ht="16.5" thickBot="1">
      <c r="A17" s="5">
        <v>7</v>
      </c>
      <c r="B17" s="20" t="s">
        <v>9</v>
      </c>
      <c r="C17" s="87">
        <f>C11+C12+C15</f>
        <v>165309</v>
      </c>
      <c r="D17" s="87">
        <f>D11+D12+D15</f>
        <v>0</v>
      </c>
      <c r="E17" s="164">
        <f t="shared" si="1"/>
        <v>165309</v>
      </c>
      <c r="F17" s="87">
        <f>F11+F12+F15</f>
        <v>370695</v>
      </c>
      <c r="G17" s="87">
        <f>G11+G12+G15</f>
        <v>876</v>
      </c>
      <c r="H17" s="168">
        <f t="shared" si="2"/>
        <v>371571</v>
      </c>
      <c r="I17" s="87">
        <f>I11+I12+I15</f>
        <v>155177</v>
      </c>
      <c r="J17" s="87">
        <f>J11+J12+J15</f>
        <v>0</v>
      </c>
      <c r="K17" s="168">
        <f t="shared" si="3"/>
        <v>155177</v>
      </c>
      <c r="L17" s="86"/>
      <c r="M17" s="87"/>
      <c r="N17" s="88"/>
      <c r="O17" s="86"/>
      <c r="P17" s="87"/>
      <c r="Q17" s="88"/>
      <c r="R17" s="86">
        <f t="shared" si="4"/>
        <v>691181</v>
      </c>
      <c r="S17" s="87">
        <f t="shared" si="5"/>
        <v>876</v>
      </c>
      <c r="T17" s="164">
        <f t="shared" si="6"/>
        <v>692057</v>
      </c>
    </row>
    <row r="18" spans="1:20" ht="15.75">
      <c r="A18" s="6">
        <v>8</v>
      </c>
      <c r="B18" s="13" t="s">
        <v>10</v>
      </c>
      <c r="C18" s="90"/>
      <c r="D18" s="90"/>
      <c r="E18" s="165">
        <f t="shared" si="1"/>
        <v>0</v>
      </c>
      <c r="F18" s="90"/>
      <c r="G18" s="90"/>
      <c r="H18" s="165">
        <f t="shared" si="2"/>
        <v>0</v>
      </c>
      <c r="I18" s="90"/>
      <c r="J18" s="90"/>
      <c r="K18" s="165">
        <f t="shared" si="3"/>
        <v>0</v>
      </c>
      <c r="L18" s="89"/>
      <c r="M18" s="90"/>
      <c r="N18" s="82"/>
      <c r="O18" s="89"/>
      <c r="P18" s="90"/>
      <c r="Q18" s="82"/>
      <c r="R18" s="89">
        <f t="shared" si="4"/>
        <v>0</v>
      </c>
      <c r="S18" s="90">
        <f t="shared" si="5"/>
        <v>0</v>
      </c>
      <c r="T18" s="165">
        <f t="shared" si="6"/>
        <v>0</v>
      </c>
    </row>
    <row r="19" spans="1:20" ht="15.75">
      <c r="A19" s="2">
        <v>9</v>
      </c>
      <c r="B19" s="15" t="s">
        <v>11</v>
      </c>
      <c r="C19" s="73"/>
      <c r="D19" s="73"/>
      <c r="E19" s="166">
        <f t="shared" si="1"/>
        <v>0</v>
      </c>
      <c r="F19" s="73"/>
      <c r="G19" s="73"/>
      <c r="H19" s="166">
        <f t="shared" si="2"/>
        <v>0</v>
      </c>
      <c r="I19" s="73"/>
      <c r="J19" s="73"/>
      <c r="K19" s="166">
        <f t="shared" si="3"/>
        <v>0</v>
      </c>
      <c r="L19" s="91"/>
      <c r="M19" s="73"/>
      <c r="N19" s="75"/>
      <c r="O19" s="91"/>
      <c r="P19" s="73"/>
      <c r="Q19" s="75"/>
      <c r="R19" s="91">
        <f t="shared" si="4"/>
        <v>0</v>
      </c>
      <c r="S19" s="73">
        <f t="shared" si="5"/>
        <v>0</v>
      </c>
      <c r="T19" s="166">
        <f t="shared" si="6"/>
        <v>0</v>
      </c>
    </row>
    <row r="20" spans="1:20" ht="15.75">
      <c r="A20" s="6">
        <v>10</v>
      </c>
      <c r="B20" s="13" t="s">
        <v>12</v>
      </c>
      <c r="C20" s="90">
        <v>8713</v>
      </c>
      <c r="D20" s="90"/>
      <c r="E20" s="165">
        <f t="shared" si="1"/>
        <v>8713</v>
      </c>
      <c r="F20" s="90">
        <v>43014</v>
      </c>
      <c r="G20" s="90"/>
      <c r="H20" s="165">
        <f t="shared" si="2"/>
        <v>43014</v>
      </c>
      <c r="I20" s="90">
        <v>12690</v>
      </c>
      <c r="J20" s="90"/>
      <c r="K20" s="165">
        <f t="shared" si="3"/>
        <v>12690</v>
      </c>
      <c r="L20" s="89"/>
      <c r="M20" s="90"/>
      <c r="N20" s="82"/>
      <c r="O20" s="89"/>
      <c r="P20" s="90"/>
      <c r="Q20" s="82"/>
      <c r="R20" s="89">
        <f t="shared" si="4"/>
        <v>64417</v>
      </c>
      <c r="S20" s="90">
        <f t="shared" si="5"/>
        <v>0</v>
      </c>
      <c r="T20" s="165">
        <f t="shared" si="6"/>
        <v>64417</v>
      </c>
    </row>
    <row r="21" spans="1:20" ht="15.75">
      <c r="A21" s="2">
        <v>11</v>
      </c>
      <c r="B21" s="25" t="s">
        <v>116</v>
      </c>
      <c r="C21" s="84"/>
      <c r="D21" s="84"/>
      <c r="E21" s="166">
        <f t="shared" si="1"/>
        <v>0</v>
      </c>
      <c r="F21" s="84"/>
      <c r="G21" s="84"/>
      <c r="H21" s="166">
        <f t="shared" si="2"/>
        <v>0</v>
      </c>
      <c r="I21" s="84"/>
      <c r="J21" s="84"/>
      <c r="K21" s="166">
        <f t="shared" si="3"/>
        <v>0</v>
      </c>
      <c r="L21" s="91"/>
      <c r="M21" s="84"/>
      <c r="N21" s="75"/>
      <c r="O21" s="91"/>
      <c r="P21" s="84"/>
      <c r="Q21" s="75"/>
      <c r="R21" s="91">
        <f t="shared" si="4"/>
        <v>0</v>
      </c>
      <c r="S21" s="84">
        <f t="shared" si="5"/>
        <v>0</v>
      </c>
      <c r="T21" s="166">
        <f t="shared" si="6"/>
        <v>0</v>
      </c>
    </row>
    <row r="22" spans="1:20" ht="16.5" thickBot="1">
      <c r="A22" s="1">
        <v>12</v>
      </c>
      <c r="B22" s="26" t="s">
        <v>117</v>
      </c>
      <c r="C22" s="93"/>
      <c r="D22" s="93"/>
      <c r="E22" s="167">
        <f t="shared" si="1"/>
        <v>0</v>
      </c>
      <c r="F22" s="93"/>
      <c r="G22" s="93"/>
      <c r="H22" s="167">
        <f t="shared" si="2"/>
        <v>0</v>
      </c>
      <c r="I22" s="93"/>
      <c r="J22" s="93"/>
      <c r="K22" s="167">
        <f t="shared" si="3"/>
        <v>0</v>
      </c>
      <c r="L22" s="92"/>
      <c r="M22" s="93"/>
      <c r="N22" s="78"/>
      <c r="O22" s="92"/>
      <c r="P22" s="93"/>
      <c r="Q22" s="78"/>
      <c r="R22" s="92">
        <f t="shared" si="4"/>
        <v>0</v>
      </c>
      <c r="S22" s="93">
        <f t="shared" si="5"/>
        <v>0</v>
      </c>
      <c r="T22" s="167">
        <f t="shared" si="6"/>
        <v>0</v>
      </c>
    </row>
    <row r="23" spans="1:20" ht="16.5" thickBot="1">
      <c r="A23" s="5">
        <v>13</v>
      </c>
      <c r="B23" s="27" t="s">
        <v>13</v>
      </c>
      <c r="C23" s="87">
        <f>C18+C19+C20+C21+C22</f>
        <v>8713</v>
      </c>
      <c r="D23" s="87">
        <f>D18+D19+D20+D21+D22</f>
        <v>0</v>
      </c>
      <c r="E23" s="168">
        <f t="shared" si="1"/>
        <v>8713</v>
      </c>
      <c r="F23" s="87">
        <f>F18+F19+F20+F21+F22</f>
        <v>43014</v>
      </c>
      <c r="G23" s="87">
        <f>G18+G19+G20+G21+G22</f>
        <v>0</v>
      </c>
      <c r="H23" s="168">
        <f t="shared" si="2"/>
        <v>43014</v>
      </c>
      <c r="I23" s="87">
        <f>I18+I19+I20+I21+I22</f>
        <v>12690</v>
      </c>
      <c r="J23" s="87">
        <f>J18+J19+J20+J21+J22</f>
        <v>0</v>
      </c>
      <c r="K23" s="168">
        <f t="shared" si="3"/>
        <v>12690</v>
      </c>
      <c r="L23" s="86"/>
      <c r="M23" s="87"/>
      <c r="N23" s="88"/>
      <c r="O23" s="86"/>
      <c r="P23" s="87"/>
      <c r="Q23" s="88"/>
      <c r="R23" s="86">
        <f t="shared" si="4"/>
        <v>64417</v>
      </c>
      <c r="S23" s="87">
        <f t="shared" si="5"/>
        <v>0</v>
      </c>
      <c r="T23" s="168">
        <f t="shared" si="6"/>
        <v>64417</v>
      </c>
    </row>
    <row r="24" spans="1:20" ht="15.75">
      <c r="A24" s="6">
        <v>14</v>
      </c>
      <c r="B24" s="13" t="s">
        <v>14</v>
      </c>
      <c r="C24" s="90"/>
      <c r="D24" s="90"/>
      <c r="E24" s="165">
        <f t="shared" si="1"/>
        <v>0</v>
      </c>
      <c r="F24" s="90"/>
      <c r="G24" s="90"/>
      <c r="H24" s="165">
        <f t="shared" si="2"/>
        <v>0</v>
      </c>
      <c r="I24" s="90"/>
      <c r="J24" s="90"/>
      <c r="K24" s="165">
        <f t="shared" si="3"/>
        <v>0</v>
      </c>
      <c r="L24" s="89"/>
      <c r="M24" s="90"/>
      <c r="N24" s="82"/>
      <c r="O24" s="89"/>
      <c r="P24" s="90"/>
      <c r="Q24" s="82"/>
      <c r="R24" s="89">
        <f t="shared" si="4"/>
        <v>0</v>
      </c>
      <c r="S24" s="90">
        <f t="shared" si="5"/>
        <v>0</v>
      </c>
      <c r="T24" s="165">
        <f t="shared" si="6"/>
        <v>0</v>
      </c>
    </row>
    <row r="25" spans="1:20" ht="15.75">
      <c r="A25" s="2">
        <v>15</v>
      </c>
      <c r="B25" s="15" t="s">
        <v>15</v>
      </c>
      <c r="C25" s="73"/>
      <c r="D25" s="73"/>
      <c r="E25" s="165">
        <f t="shared" si="1"/>
        <v>0</v>
      </c>
      <c r="F25" s="73"/>
      <c r="G25" s="73"/>
      <c r="H25" s="165">
        <f t="shared" si="2"/>
        <v>0</v>
      </c>
      <c r="I25" s="73"/>
      <c r="J25" s="73"/>
      <c r="K25" s="165">
        <f t="shared" si="3"/>
        <v>0</v>
      </c>
      <c r="L25" s="91"/>
      <c r="M25" s="73"/>
      <c r="N25" s="82"/>
      <c r="O25" s="91"/>
      <c r="P25" s="73"/>
      <c r="Q25" s="82"/>
      <c r="R25" s="91">
        <f t="shared" si="4"/>
        <v>0</v>
      </c>
      <c r="S25" s="73">
        <f t="shared" si="5"/>
        <v>0</v>
      </c>
      <c r="T25" s="165">
        <f t="shared" si="6"/>
        <v>0</v>
      </c>
    </row>
    <row r="26" spans="1:20" ht="15.75">
      <c r="A26" s="6">
        <v>16</v>
      </c>
      <c r="B26" s="13" t="s">
        <v>16</v>
      </c>
      <c r="C26" s="90"/>
      <c r="D26" s="90"/>
      <c r="E26" s="165">
        <f t="shared" si="1"/>
        <v>0</v>
      </c>
      <c r="F26" s="90"/>
      <c r="G26" s="90"/>
      <c r="H26" s="165">
        <f t="shared" si="2"/>
        <v>0</v>
      </c>
      <c r="I26" s="90"/>
      <c r="J26" s="90"/>
      <c r="K26" s="165">
        <f t="shared" si="3"/>
        <v>0</v>
      </c>
      <c r="L26" s="89"/>
      <c r="M26" s="90"/>
      <c r="N26" s="82"/>
      <c r="O26" s="89"/>
      <c r="P26" s="90"/>
      <c r="Q26" s="82"/>
      <c r="R26" s="89">
        <f t="shared" si="4"/>
        <v>0</v>
      </c>
      <c r="S26" s="90">
        <f t="shared" si="5"/>
        <v>0</v>
      </c>
      <c r="T26" s="165">
        <f t="shared" si="6"/>
        <v>0</v>
      </c>
    </row>
    <row r="27" spans="1:20" ht="15.75">
      <c r="A27" s="2">
        <v>17</v>
      </c>
      <c r="B27" s="28" t="s">
        <v>17</v>
      </c>
      <c r="C27" s="73"/>
      <c r="D27" s="73"/>
      <c r="E27" s="166">
        <f t="shared" si="1"/>
        <v>0</v>
      </c>
      <c r="F27" s="73"/>
      <c r="G27" s="73"/>
      <c r="H27" s="166">
        <f t="shared" si="2"/>
        <v>0</v>
      </c>
      <c r="I27" s="73"/>
      <c r="J27" s="73"/>
      <c r="K27" s="166">
        <f t="shared" si="3"/>
        <v>0</v>
      </c>
      <c r="L27" s="91"/>
      <c r="M27" s="73"/>
      <c r="N27" s="75"/>
      <c r="O27" s="91"/>
      <c r="P27" s="73"/>
      <c r="Q27" s="75"/>
      <c r="R27" s="91">
        <f t="shared" si="4"/>
        <v>0</v>
      </c>
      <c r="S27" s="73">
        <f t="shared" si="5"/>
        <v>0</v>
      </c>
      <c r="T27" s="166">
        <f t="shared" si="6"/>
        <v>0</v>
      </c>
    </row>
    <row r="28" spans="1:20" ht="16.5" thickBot="1">
      <c r="A28" s="8">
        <v>18</v>
      </c>
      <c r="B28" s="29" t="s">
        <v>18</v>
      </c>
      <c r="C28" s="73"/>
      <c r="D28" s="73"/>
      <c r="E28" s="166">
        <f t="shared" si="1"/>
        <v>0</v>
      </c>
      <c r="F28" s="73"/>
      <c r="G28" s="73"/>
      <c r="H28" s="166">
        <f t="shared" si="2"/>
        <v>0</v>
      </c>
      <c r="I28" s="73"/>
      <c r="J28" s="73"/>
      <c r="K28" s="166">
        <f t="shared" si="3"/>
        <v>0</v>
      </c>
      <c r="L28" s="91"/>
      <c r="M28" s="73"/>
      <c r="N28" s="75"/>
      <c r="O28" s="91"/>
      <c r="P28" s="73"/>
      <c r="Q28" s="75"/>
      <c r="R28" s="91">
        <f t="shared" si="4"/>
        <v>0</v>
      </c>
      <c r="S28" s="73">
        <f t="shared" si="5"/>
        <v>0</v>
      </c>
      <c r="T28" s="166">
        <f t="shared" si="6"/>
        <v>0</v>
      </c>
    </row>
    <row r="29" spans="1:20" ht="15.75">
      <c r="A29" s="6">
        <v>19</v>
      </c>
      <c r="B29" s="13" t="s">
        <v>19</v>
      </c>
      <c r="C29" s="90"/>
      <c r="D29" s="90"/>
      <c r="E29" s="165">
        <f t="shared" si="1"/>
        <v>0</v>
      </c>
      <c r="F29" s="90">
        <f>1300+150</f>
        <v>1450</v>
      </c>
      <c r="G29" s="90">
        <v>116</v>
      </c>
      <c r="H29" s="165">
        <f t="shared" si="2"/>
        <v>1566</v>
      </c>
      <c r="I29" s="90"/>
      <c r="J29" s="90"/>
      <c r="K29" s="165">
        <f t="shared" si="3"/>
        <v>0</v>
      </c>
      <c r="L29" s="89"/>
      <c r="M29" s="90"/>
      <c r="N29" s="82"/>
      <c r="O29" s="89"/>
      <c r="P29" s="90"/>
      <c r="Q29" s="82"/>
      <c r="R29" s="89">
        <f t="shared" si="4"/>
        <v>1450</v>
      </c>
      <c r="S29" s="90">
        <f t="shared" si="5"/>
        <v>116</v>
      </c>
      <c r="T29" s="165">
        <f t="shared" si="6"/>
        <v>1566</v>
      </c>
    </row>
    <row r="30" spans="1:20" ht="16.5" thickBot="1">
      <c r="A30" s="3">
        <v>20</v>
      </c>
      <c r="B30" s="24" t="s">
        <v>20</v>
      </c>
      <c r="C30" s="95"/>
      <c r="D30" s="95"/>
      <c r="E30" s="167">
        <f t="shared" si="1"/>
        <v>0</v>
      </c>
      <c r="F30" s="95"/>
      <c r="G30" s="95"/>
      <c r="H30" s="167">
        <f t="shared" si="2"/>
        <v>0</v>
      </c>
      <c r="I30" s="95"/>
      <c r="J30" s="95"/>
      <c r="K30" s="167">
        <f t="shared" si="3"/>
        <v>0</v>
      </c>
      <c r="L30" s="94"/>
      <c r="M30" s="95"/>
      <c r="N30" s="78"/>
      <c r="O30" s="94"/>
      <c r="P30" s="95"/>
      <c r="Q30" s="78"/>
      <c r="R30" s="94">
        <f t="shared" si="4"/>
        <v>0</v>
      </c>
      <c r="S30" s="95">
        <f t="shared" si="5"/>
        <v>0</v>
      </c>
      <c r="T30" s="167">
        <f t="shared" si="6"/>
        <v>0</v>
      </c>
    </row>
    <row r="31" spans="1:20" ht="16.5" thickBot="1">
      <c r="A31" s="5">
        <v>21</v>
      </c>
      <c r="B31" s="20" t="s">
        <v>21</v>
      </c>
      <c r="C31" s="87">
        <f>SUM(C29:C30)</f>
        <v>0</v>
      </c>
      <c r="D31" s="87">
        <f>SUM(D29:D30)</f>
        <v>0</v>
      </c>
      <c r="E31" s="168">
        <f t="shared" si="1"/>
        <v>0</v>
      </c>
      <c r="F31" s="87">
        <f>SUM(F29:F30)</f>
        <v>1450</v>
      </c>
      <c r="G31" s="87">
        <f>SUM(G29:G30)</f>
        <v>116</v>
      </c>
      <c r="H31" s="168">
        <f t="shared" si="2"/>
        <v>1566</v>
      </c>
      <c r="I31" s="87">
        <f>SUM(I29:I30)</f>
        <v>0</v>
      </c>
      <c r="J31" s="87">
        <f>SUM(J29:J30)</f>
        <v>0</v>
      </c>
      <c r="K31" s="168">
        <f t="shared" si="3"/>
        <v>0</v>
      </c>
      <c r="L31" s="86"/>
      <c r="M31" s="87"/>
      <c r="N31" s="88"/>
      <c r="O31" s="86"/>
      <c r="P31" s="87"/>
      <c r="Q31" s="88"/>
      <c r="R31" s="86">
        <f t="shared" si="4"/>
        <v>1450</v>
      </c>
      <c r="S31" s="87">
        <f t="shared" si="5"/>
        <v>116</v>
      </c>
      <c r="T31" s="168">
        <f t="shared" si="6"/>
        <v>1566</v>
      </c>
    </row>
    <row r="32" spans="1:20" ht="15.75">
      <c r="A32" s="3">
        <v>22</v>
      </c>
      <c r="B32" s="24" t="s">
        <v>22</v>
      </c>
      <c r="C32" s="79"/>
      <c r="D32" s="79"/>
      <c r="E32" s="167">
        <f t="shared" si="1"/>
        <v>0</v>
      </c>
      <c r="F32" s="79"/>
      <c r="G32" s="79"/>
      <c r="H32" s="167">
        <f t="shared" si="2"/>
        <v>0</v>
      </c>
      <c r="I32" s="79"/>
      <c r="J32" s="79"/>
      <c r="K32" s="167">
        <f t="shared" si="3"/>
        <v>0</v>
      </c>
      <c r="L32" s="96"/>
      <c r="M32" s="79"/>
      <c r="N32" s="78"/>
      <c r="O32" s="96"/>
      <c r="P32" s="79"/>
      <c r="Q32" s="78"/>
      <c r="R32" s="96">
        <f t="shared" si="4"/>
        <v>0</v>
      </c>
      <c r="S32" s="79">
        <f t="shared" si="5"/>
        <v>0</v>
      </c>
      <c r="T32" s="167">
        <f t="shared" si="6"/>
        <v>0</v>
      </c>
    </row>
    <row r="33" spans="1:20" ht="15.75">
      <c r="A33" s="2">
        <v>23</v>
      </c>
      <c r="B33" s="15" t="s">
        <v>23</v>
      </c>
      <c r="C33" s="73"/>
      <c r="D33" s="73"/>
      <c r="E33" s="166">
        <f t="shared" si="1"/>
        <v>0</v>
      </c>
      <c r="F33" s="73"/>
      <c r="G33" s="73"/>
      <c r="H33" s="166">
        <f t="shared" si="2"/>
        <v>0</v>
      </c>
      <c r="I33" s="73"/>
      <c r="J33" s="73"/>
      <c r="K33" s="166">
        <f t="shared" si="3"/>
        <v>0</v>
      </c>
      <c r="L33" s="91"/>
      <c r="M33" s="73"/>
      <c r="N33" s="75"/>
      <c r="O33" s="91"/>
      <c r="P33" s="73"/>
      <c r="Q33" s="75"/>
      <c r="R33" s="91">
        <f t="shared" si="4"/>
        <v>0</v>
      </c>
      <c r="S33" s="73">
        <f t="shared" si="5"/>
        <v>0</v>
      </c>
      <c r="T33" s="166">
        <f t="shared" si="6"/>
        <v>0</v>
      </c>
    </row>
    <row r="34" spans="1:20" ht="15.75">
      <c r="A34" s="6">
        <v>24</v>
      </c>
      <c r="B34" s="13" t="s">
        <v>24</v>
      </c>
      <c r="C34" s="90"/>
      <c r="D34" s="90"/>
      <c r="E34" s="165">
        <f t="shared" si="1"/>
        <v>0</v>
      </c>
      <c r="F34" s="90"/>
      <c r="G34" s="90"/>
      <c r="H34" s="165">
        <f t="shared" si="2"/>
        <v>0</v>
      </c>
      <c r="I34" s="90"/>
      <c r="J34" s="90"/>
      <c r="K34" s="165">
        <f t="shared" si="3"/>
        <v>0</v>
      </c>
      <c r="L34" s="89"/>
      <c r="M34" s="90"/>
      <c r="N34" s="82"/>
      <c r="O34" s="89"/>
      <c r="P34" s="90"/>
      <c r="Q34" s="82"/>
      <c r="R34" s="89">
        <f t="shared" si="4"/>
        <v>0</v>
      </c>
      <c r="S34" s="90">
        <f t="shared" si="5"/>
        <v>0</v>
      </c>
      <c r="T34" s="165">
        <f t="shared" si="6"/>
        <v>0</v>
      </c>
    </row>
    <row r="35" spans="1:20" ht="16.5" thickBot="1">
      <c r="A35" s="2">
        <v>25</v>
      </c>
      <c r="B35" s="15" t="s">
        <v>25</v>
      </c>
      <c r="C35" s="73"/>
      <c r="D35" s="73"/>
      <c r="E35" s="165">
        <f t="shared" si="1"/>
        <v>0</v>
      </c>
      <c r="F35" s="73"/>
      <c r="G35" s="73"/>
      <c r="H35" s="165">
        <f t="shared" si="2"/>
        <v>0</v>
      </c>
      <c r="I35" s="73"/>
      <c r="J35" s="73"/>
      <c r="K35" s="165">
        <f t="shared" si="3"/>
        <v>0</v>
      </c>
      <c r="L35" s="91"/>
      <c r="M35" s="73"/>
      <c r="N35" s="82"/>
      <c r="O35" s="91"/>
      <c r="P35" s="73"/>
      <c r="Q35" s="82"/>
      <c r="R35" s="91">
        <f t="shared" si="4"/>
        <v>0</v>
      </c>
      <c r="S35" s="73">
        <f t="shared" si="5"/>
        <v>0</v>
      </c>
      <c r="T35" s="165">
        <f t="shared" si="6"/>
        <v>0</v>
      </c>
    </row>
    <row r="36" spans="1:20" ht="16.5" thickBot="1">
      <c r="A36" s="5">
        <v>26</v>
      </c>
      <c r="B36" s="20" t="s">
        <v>45</v>
      </c>
      <c r="C36" s="87">
        <f>C17+C23+C24+C25+C26+C27+C28+C31+C32+C33+C34+C35</f>
        <v>174022</v>
      </c>
      <c r="D36" s="87">
        <f>D17+D23+D24+D25+D26+D27+D28+D31+D32+D33+D34+D35</f>
        <v>0</v>
      </c>
      <c r="E36" s="168">
        <f t="shared" si="1"/>
        <v>174022</v>
      </c>
      <c r="F36" s="87">
        <f>F17+F23+F24+F25+F26+F27+F28+F31+F32+F33+F34+F35</f>
        <v>415159</v>
      </c>
      <c r="G36" s="87">
        <f>G17+G23+G24+G25+G26+G27+G28+G31+G32+G33+G34+G35</f>
        <v>992</v>
      </c>
      <c r="H36" s="168">
        <f t="shared" si="2"/>
        <v>416151</v>
      </c>
      <c r="I36" s="87">
        <f>I17+I23+I24+I25+I26+I27+I28+I31+I32+I33+I34+I35</f>
        <v>167867</v>
      </c>
      <c r="J36" s="87">
        <f>J17+J23+J24+J25+J26+J27+J28+J31+J32+J33+J34+J35</f>
        <v>0</v>
      </c>
      <c r="K36" s="168">
        <f t="shared" si="3"/>
        <v>167867</v>
      </c>
      <c r="L36" s="86"/>
      <c r="M36" s="87"/>
      <c r="N36" s="88"/>
      <c r="O36" s="86"/>
      <c r="P36" s="87"/>
      <c r="Q36" s="88"/>
      <c r="R36" s="86">
        <f t="shared" si="4"/>
        <v>757048</v>
      </c>
      <c r="S36" s="87">
        <f t="shared" si="5"/>
        <v>992</v>
      </c>
      <c r="T36" s="168">
        <f t="shared" si="6"/>
        <v>758040</v>
      </c>
    </row>
    <row r="37" spans="1:20" ht="15.75">
      <c r="A37" s="7">
        <v>27</v>
      </c>
      <c r="B37" s="30" t="s">
        <v>46</v>
      </c>
      <c r="C37" s="98"/>
      <c r="D37" s="98"/>
      <c r="E37" s="169">
        <f t="shared" si="1"/>
        <v>0</v>
      </c>
      <c r="F37" s="98"/>
      <c r="G37" s="98"/>
      <c r="H37" s="169">
        <f t="shared" si="2"/>
        <v>0</v>
      </c>
      <c r="I37" s="98"/>
      <c r="J37" s="98"/>
      <c r="K37" s="169">
        <f t="shared" si="3"/>
        <v>0</v>
      </c>
      <c r="L37" s="97"/>
      <c r="M37" s="98"/>
      <c r="N37" s="99"/>
      <c r="O37" s="97"/>
      <c r="P37" s="98"/>
      <c r="Q37" s="99"/>
      <c r="R37" s="97">
        <f t="shared" si="4"/>
        <v>0</v>
      </c>
      <c r="S37" s="98">
        <f t="shared" si="5"/>
        <v>0</v>
      </c>
      <c r="T37" s="169">
        <f t="shared" si="6"/>
        <v>0</v>
      </c>
    </row>
    <row r="38" spans="1:20" ht="15.75">
      <c r="A38" s="6">
        <v>28</v>
      </c>
      <c r="B38" s="13" t="s">
        <v>26</v>
      </c>
      <c r="C38" s="90"/>
      <c r="D38" s="90"/>
      <c r="E38" s="165">
        <f t="shared" si="1"/>
        <v>0</v>
      </c>
      <c r="F38" s="90"/>
      <c r="G38" s="90"/>
      <c r="H38" s="165">
        <f t="shared" si="2"/>
        <v>0</v>
      </c>
      <c r="I38" s="90"/>
      <c r="J38" s="90"/>
      <c r="K38" s="165">
        <f t="shared" si="3"/>
        <v>0</v>
      </c>
      <c r="L38" s="89"/>
      <c r="M38" s="90"/>
      <c r="N38" s="82"/>
      <c r="O38" s="89"/>
      <c r="P38" s="90"/>
      <c r="Q38" s="82"/>
      <c r="R38" s="89">
        <f t="shared" si="4"/>
        <v>0</v>
      </c>
      <c r="S38" s="90">
        <f t="shared" si="5"/>
        <v>0</v>
      </c>
      <c r="T38" s="165">
        <f t="shared" si="6"/>
        <v>0</v>
      </c>
    </row>
    <row r="39" spans="1:20" ht="16.5" thickBot="1">
      <c r="A39" s="3">
        <v>29</v>
      </c>
      <c r="B39" s="24" t="s">
        <v>27</v>
      </c>
      <c r="C39" s="95"/>
      <c r="D39" s="95"/>
      <c r="E39" s="167">
        <f t="shared" si="1"/>
        <v>0</v>
      </c>
      <c r="F39" s="95"/>
      <c r="G39" s="95"/>
      <c r="H39" s="167">
        <f t="shared" si="2"/>
        <v>0</v>
      </c>
      <c r="I39" s="95"/>
      <c r="J39" s="95"/>
      <c r="K39" s="167">
        <f t="shared" si="3"/>
        <v>0</v>
      </c>
      <c r="L39" s="94"/>
      <c r="M39" s="95"/>
      <c r="N39" s="78"/>
      <c r="O39" s="94"/>
      <c r="P39" s="95"/>
      <c r="Q39" s="78"/>
      <c r="R39" s="94">
        <f t="shared" si="4"/>
        <v>0</v>
      </c>
      <c r="S39" s="95">
        <f t="shared" si="5"/>
        <v>0</v>
      </c>
      <c r="T39" s="167">
        <f t="shared" si="6"/>
        <v>0</v>
      </c>
    </row>
    <row r="40" spans="1:20" ht="16.5" thickBot="1">
      <c r="A40" s="5">
        <v>30</v>
      </c>
      <c r="B40" s="20" t="s">
        <v>47</v>
      </c>
      <c r="C40" s="87">
        <f>SUM(C37:C39)</f>
        <v>0</v>
      </c>
      <c r="D40" s="87">
        <f>SUM(D37:D39)</f>
        <v>0</v>
      </c>
      <c r="E40" s="170">
        <f t="shared" si="1"/>
        <v>0</v>
      </c>
      <c r="F40" s="87">
        <f>SUM(F37:F39)</f>
        <v>0</v>
      </c>
      <c r="G40" s="87">
        <f>SUM(G37:G39)</f>
        <v>0</v>
      </c>
      <c r="H40" s="170">
        <f t="shared" si="2"/>
        <v>0</v>
      </c>
      <c r="I40" s="87">
        <f>SUM(I37:I39)</f>
        <v>0</v>
      </c>
      <c r="J40" s="87">
        <f>SUM(J37:J39)</f>
        <v>0</v>
      </c>
      <c r="K40" s="170">
        <f t="shared" si="3"/>
        <v>0</v>
      </c>
      <c r="L40" s="86"/>
      <c r="M40" s="87"/>
      <c r="N40" s="100"/>
      <c r="O40" s="86"/>
      <c r="P40" s="87"/>
      <c r="Q40" s="100"/>
      <c r="R40" s="86">
        <f t="shared" si="4"/>
        <v>0</v>
      </c>
      <c r="S40" s="87">
        <f t="shared" si="5"/>
        <v>0</v>
      </c>
      <c r="T40" s="170">
        <f t="shared" si="6"/>
        <v>0</v>
      </c>
    </row>
    <row r="41" spans="1:20" ht="16.5" thickBot="1">
      <c r="A41" s="225" t="s">
        <v>48</v>
      </c>
      <c r="B41" s="226"/>
      <c r="C41" s="102">
        <f>C36+C40</f>
        <v>174022</v>
      </c>
      <c r="D41" s="102">
        <f>D36+D40</f>
        <v>0</v>
      </c>
      <c r="E41" s="171">
        <f t="shared" si="1"/>
        <v>174022</v>
      </c>
      <c r="F41" s="102">
        <f>F36+F40</f>
        <v>415159</v>
      </c>
      <c r="G41" s="102">
        <f>G36+G40</f>
        <v>992</v>
      </c>
      <c r="H41" s="171">
        <f t="shared" si="2"/>
        <v>416151</v>
      </c>
      <c r="I41" s="102">
        <f>I36+I40</f>
        <v>167867</v>
      </c>
      <c r="J41" s="102">
        <f>J36+J40</f>
        <v>0</v>
      </c>
      <c r="K41" s="171">
        <f t="shared" si="3"/>
        <v>167867</v>
      </c>
      <c r="L41" s="101"/>
      <c r="M41" s="102"/>
      <c r="N41" s="103"/>
      <c r="O41" s="101"/>
      <c r="P41" s="102"/>
      <c r="Q41" s="103"/>
      <c r="R41" s="101">
        <f t="shared" si="4"/>
        <v>757048</v>
      </c>
      <c r="S41" s="102">
        <f t="shared" si="5"/>
        <v>992</v>
      </c>
      <c r="T41" s="171">
        <f t="shared" si="6"/>
        <v>758040</v>
      </c>
    </row>
    <row r="42" spans="1:20" ht="17.25" thickTop="1" thickBot="1">
      <c r="A42" s="227" t="s">
        <v>28</v>
      </c>
      <c r="B42" s="228"/>
      <c r="C42" s="105"/>
      <c r="D42" s="105"/>
      <c r="E42" s="170"/>
      <c r="F42" s="105"/>
      <c r="G42" s="105"/>
      <c r="H42" s="170"/>
      <c r="I42" s="105"/>
      <c r="J42" s="105"/>
      <c r="K42" s="170"/>
      <c r="L42" s="104"/>
      <c r="M42" s="105"/>
      <c r="N42" s="100"/>
      <c r="O42" s="104"/>
      <c r="P42" s="105"/>
      <c r="Q42" s="100"/>
      <c r="R42" s="104"/>
      <c r="S42" s="105"/>
      <c r="T42" s="170"/>
    </row>
    <row r="43" spans="1:20" ht="31.5">
      <c r="A43" s="6">
        <v>31</v>
      </c>
      <c r="B43" s="12" t="s">
        <v>29</v>
      </c>
      <c r="C43" s="90">
        <v>30991</v>
      </c>
      <c r="D43" s="90"/>
      <c r="E43" s="172">
        <f t="shared" si="1"/>
        <v>30991</v>
      </c>
      <c r="F43" s="90">
        <v>110157</v>
      </c>
      <c r="G43" s="90"/>
      <c r="H43" s="165">
        <f t="shared" si="2"/>
        <v>110157</v>
      </c>
      <c r="I43" s="90"/>
      <c r="J43" s="90"/>
      <c r="K43" s="165">
        <f t="shared" si="3"/>
        <v>0</v>
      </c>
      <c r="L43" s="76"/>
      <c r="M43" s="90"/>
      <c r="N43" s="82"/>
      <c r="O43" s="77"/>
      <c r="P43" s="90"/>
      <c r="Q43" s="82"/>
      <c r="R43" s="76">
        <f t="shared" si="4"/>
        <v>141148</v>
      </c>
      <c r="S43" s="90">
        <f t="shared" si="5"/>
        <v>0</v>
      </c>
      <c r="T43" s="172">
        <f t="shared" si="6"/>
        <v>141148</v>
      </c>
    </row>
    <row r="44" spans="1:20" ht="15.75">
      <c r="A44" s="6">
        <v>32</v>
      </c>
      <c r="B44" s="13" t="s">
        <v>30</v>
      </c>
      <c r="C44" s="73"/>
      <c r="D44" s="73"/>
      <c r="E44" s="172">
        <f t="shared" si="1"/>
        <v>0</v>
      </c>
      <c r="F44" s="73"/>
      <c r="G44" s="73"/>
      <c r="H44" s="166">
        <f t="shared" si="2"/>
        <v>0</v>
      </c>
      <c r="I44" s="73"/>
      <c r="J44" s="73"/>
      <c r="K44" s="166">
        <f t="shared" si="3"/>
        <v>0</v>
      </c>
      <c r="L44" s="76"/>
      <c r="M44" s="73"/>
      <c r="N44" s="75"/>
      <c r="O44" s="77"/>
      <c r="P44" s="73"/>
      <c r="Q44" s="75"/>
      <c r="R44" s="76">
        <f t="shared" si="4"/>
        <v>0</v>
      </c>
      <c r="S44" s="73">
        <f t="shared" si="5"/>
        <v>0</v>
      </c>
      <c r="T44" s="172">
        <f t="shared" si="6"/>
        <v>0</v>
      </c>
    </row>
    <row r="45" spans="1:20" ht="31.5">
      <c r="A45" s="6">
        <v>33</v>
      </c>
      <c r="B45" s="14" t="s">
        <v>31</v>
      </c>
      <c r="C45" s="73"/>
      <c r="D45" s="73"/>
      <c r="E45" s="172">
        <f t="shared" si="1"/>
        <v>0</v>
      </c>
      <c r="F45" s="73"/>
      <c r="G45" s="73"/>
      <c r="H45" s="166">
        <f t="shared" si="2"/>
        <v>0</v>
      </c>
      <c r="I45" s="73"/>
      <c r="J45" s="73"/>
      <c r="K45" s="166">
        <f t="shared" si="3"/>
        <v>0</v>
      </c>
      <c r="L45" s="76"/>
      <c r="M45" s="73"/>
      <c r="N45" s="75"/>
      <c r="O45" s="77"/>
      <c r="P45" s="73"/>
      <c r="Q45" s="75"/>
      <c r="R45" s="76">
        <f t="shared" si="4"/>
        <v>0</v>
      </c>
      <c r="S45" s="73">
        <f t="shared" si="5"/>
        <v>0</v>
      </c>
      <c r="T45" s="172">
        <f t="shared" si="6"/>
        <v>0</v>
      </c>
    </row>
    <row r="46" spans="1:20" ht="15.75">
      <c r="A46" s="6">
        <v>34</v>
      </c>
      <c r="B46" s="15" t="s">
        <v>32</v>
      </c>
      <c r="C46" s="73">
        <f>121268+4507+1035</f>
        <v>126810</v>
      </c>
      <c r="D46" s="73"/>
      <c r="E46" s="172">
        <f t="shared" si="1"/>
        <v>126810</v>
      </c>
      <c r="F46" s="73">
        <f>230876+1026+9414+2671</f>
        <v>243987</v>
      </c>
      <c r="G46" s="73">
        <v>-116</v>
      </c>
      <c r="H46" s="166">
        <f t="shared" si="2"/>
        <v>243871</v>
      </c>
      <c r="I46" s="73">
        <f>149915+2334+399</f>
        <v>152648</v>
      </c>
      <c r="J46" s="73"/>
      <c r="K46" s="166">
        <f t="shared" si="3"/>
        <v>152648</v>
      </c>
      <c r="L46" s="76"/>
      <c r="M46" s="73"/>
      <c r="N46" s="75"/>
      <c r="O46" s="77"/>
      <c r="P46" s="73"/>
      <c r="Q46" s="75"/>
      <c r="R46" s="76">
        <f t="shared" si="4"/>
        <v>523445</v>
      </c>
      <c r="S46" s="73">
        <f t="shared" si="5"/>
        <v>-116</v>
      </c>
      <c r="T46" s="172">
        <f t="shared" si="6"/>
        <v>523329</v>
      </c>
    </row>
    <row r="47" spans="1:20" ht="15.75">
      <c r="A47" s="6">
        <v>35</v>
      </c>
      <c r="B47" s="15" t="s">
        <v>33</v>
      </c>
      <c r="C47" s="73"/>
      <c r="D47" s="73"/>
      <c r="E47" s="172">
        <f t="shared" si="1"/>
        <v>0</v>
      </c>
      <c r="F47" s="73">
        <f>1300+150</f>
        <v>1450</v>
      </c>
      <c r="G47" s="73">
        <v>116</v>
      </c>
      <c r="H47" s="166">
        <f t="shared" si="2"/>
        <v>1566</v>
      </c>
      <c r="I47" s="73"/>
      <c r="J47" s="73"/>
      <c r="K47" s="166">
        <f t="shared" si="3"/>
        <v>0</v>
      </c>
      <c r="L47" s="76"/>
      <c r="M47" s="73"/>
      <c r="N47" s="75"/>
      <c r="O47" s="77"/>
      <c r="P47" s="73"/>
      <c r="Q47" s="75"/>
      <c r="R47" s="76">
        <f t="shared" si="4"/>
        <v>1450</v>
      </c>
      <c r="S47" s="73">
        <f t="shared" si="5"/>
        <v>116</v>
      </c>
      <c r="T47" s="172">
        <f t="shared" si="6"/>
        <v>1566</v>
      </c>
    </row>
    <row r="48" spans="1:20" ht="15.75">
      <c r="A48" s="6">
        <v>36</v>
      </c>
      <c r="B48" s="15" t="s">
        <v>34</v>
      </c>
      <c r="C48" s="73"/>
      <c r="D48" s="73"/>
      <c r="E48" s="172">
        <f t="shared" si="1"/>
        <v>0</v>
      </c>
      <c r="F48" s="73"/>
      <c r="G48" s="73"/>
      <c r="H48" s="166">
        <f t="shared" si="2"/>
        <v>0</v>
      </c>
      <c r="I48" s="73"/>
      <c r="J48" s="73"/>
      <c r="K48" s="166">
        <f t="shared" si="3"/>
        <v>0</v>
      </c>
      <c r="L48" s="76"/>
      <c r="M48" s="73"/>
      <c r="N48" s="75"/>
      <c r="O48" s="77"/>
      <c r="P48" s="73"/>
      <c r="Q48" s="75"/>
      <c r="R48" s="76">
        <f t="shared" si="4"/>
        <v>0</v>
      </c>
      <c r="S48" s="73">
        <f t="shared" si="5"/>
        <v>0</v>
      </c>
      <c r="T48" s="172">
        <f t="shared" si="6"/>
        <v>0</v>
      </c>
    </row>
    <row r="49" spans="1:20" ht="15.75">
      <c r="A49" s="6">
        <v>37</v>
      </c>
      <c r="B49" s="15" t="s">
        <v>35</v>
      </c>
      <c r="C49" s="73"/>
      <c r="D49" s="73"/>
      <c r="E49" s="172">
        <f t="shared" si="1"/>
        <v>0</v>
      </c>
      <c r="F49" s="73">
        <f>3000+964</f>
        <v>3964</v>
      </c>
      <c r="G49" s="73">
        <v>992</v>
      </c>
      <c r="H49" s="166">
        <f t="shared" si="2"/>
        <v>4956</v>
      </c>
      <c r="I49" s="73"/>
      <c r="J49" s="73"/>
      <c r="K49" s="166">
        <f t="shared" si="3"/>
        <v>0</v>
      </c>
      <c r="L49" s="76"/>
      <c r="M49" s="73"/>
      <c r="N49" s="75"/>
      <c r="O49" s="106"/>
      <c r="P49" s="73"/>
      <c r="Q49" s="75"/>
      <c r="R49" s="76">
        <f t="shared" si="4"/>
        <v>3964</v>
      </c>
      <c r="S49" s="73">
        <f t="shared" si="5"/>
        <v>992</v>
      </c>
      <c r="T49" s="172">
        <f t="shared" si="6"/>
        <v>4956</v>
      </c>
    </row>
    <row r="50" spans="1:20" ht="15.75">
      <c r="A50" s="4">
        <v>38</v>
      </c>
      <c r="B50" s="16" t="s">
        <v>36</v>
      </c>
      <c r="C50" s="84"/>
      <c r="D50" s="84"/>
      <c r="E50" s="173">
        <f t="shared" si="1"/>
        <v>0</v>
      </c>
      <c r="F50" s="84">
        <f>3000+964</f>
        <v>3964</v>
      </c>
      <c r="G50" s="84">
        <v>992</v>
      </c>
      <c r="H50" s="180">
        <f t="shared" si="2"/>
        <v>4956</v>
      </c>
      <c r="I50" s="84"/>
      <c r="J50" s="84"/>
      <c r="K50" s="180">
        <f t="shared" si="3"/>
        <v>0</v>
      </c>
      <c r="L50" s="76"/>
      <c r="M50" s="84"/>
      <c r="N50" s="108"/>
      <c r="O50" s="109"/>
      <c r="P50" s="84"/>
      <c r="Q50" s="108"/>
      <c r="R50" s="107">
        <f t="shared" si="4"/>
        <v>3964</v>
      </c>
      <c r="S50" s="84">
        <f t="shared" si="5"/>
        <v>992</v>
      </c>
      <c r="T50" s="173">
        <f t="shared" si="6"/>
        <v>4956</v>
      </c>
    </row>
    <row r="51" spans="1:20" ht="15.75">
      <c r="A51" s="6">
        <v>39</v>
      </c>
      <c r="B51" s="15" t="s">
        <v>37</v>
      </c>
      <c r="C51" s="73"/>
      <c r="D51" s="73"/>
      <c r="E51" s="172">
        <f t="shared" si="1"/>
        <v>0</v>
      </c>
      <c r="F51" s="73"/>
      <c r="G51" s="73"/>
      <c r="H51" s="166">
        <f t="shared" si="2"/>
        <v>0</v>
      </c>
      <c r="I51" s="73"/>
      <c r="J51" s="73"/>
      <c r="K51" s="166">
        <f t="shared" si="3"/>
        <v>0</v>
      </c>
      <c r="L51" s="76"/>
      <c r="M51" s="73"/>
      <c r="N51" s="75"/>
      <c r="O51" s="106"/>
      <c r="P51" s="73"/>
      <c r="Q51" s="75"/>
      <c r="R51" s="76">
        <f t="shared" si="4"/>
        <v>0</v>
      </c>
      <c r="S51" s="73">
        <f t="shared" si="5"/>
        <v>0</v>
      </c>
      <c r="T51" s="172">
        <f t="shared" si="6"/>
        <v>0</v>
      </c>
    </row>
    <row r="52" spans="1:20" ht="15.75">
      <c r="A52" s="6">
        <v>40</v>
      </c>
      <c r="B52" s="17" t="s">
        <v>38</v>
      </c>
      <c r="C52" s="73"/>
      <c r="D52" s="73"/>
      <c r="E52" s="172">
        <f t="shared" si="1"/>
        <v>0</v>
      </c>
      <c r="F52" s="73"/>
      <c r="G52" s="73"/>
      <c r="H52" s="166">
        <f t="shared" si="2"/>
        <v>0</v>
      </c>
      <c r="I52" s="73"/>
      <c r="J52" s="73"/>
      <c r="K52" s="166">
        <f t="shared" si="3"/>
        <v>0</v>
      </c>
      <c r="L52" s="76"/>
      <c r="M52" s="73"/>
      <c r="N52" s="75"/>
      <c r="O52" s="106"/>
      <c r="P52" s="73"/>
      <c r="Q52" s="75"/>
      <c r="R52" s="76">
        <f t="shared" si="4"/>
        <v>0</v>
      </c>
      <c r="S52" s="73">
        <f t="shared" si="5"/>
        <v>0</v>
      </c>
      <c r="T52" s="172">
        <f t="shared" si="6"/>
        <v>0</v>
      </c>
    </row>
    <row r="53" spans="1:20" ht="16.5" thickBot="1">
      <c r="A53" s="1">
        <v>41</v>
      </c>
      <c r="B53" s="18" t="s">
        <v>39</v>
      </c>
      <c r="C53" s="79"/>
      <c r="D53" s="79"/>
      <c r="E53" s="174">
        <f t="shared" si="1"/>
        <v>0</v>
      </c>
      <c r="F53" s="79"/>
      <c r="G53" s="79"/>
      <c r="H53" s="181">
        <f t="shared" si="2"/>
        <v>0</v>
      </c>
      <c r="I53" s="79"/>
      <c r="J53" s="79"/>
      <c r="K53" s="181">
        <f t="shared" si="3"/>
        <v>0</v>
      </c>
      <c r="L53" s="68"/>
      <c r="M53" s="79"/>
      <c r="N53" s="110"/>
      <c r="O53" s="111"/>
      <c r="P53" s="79"/>
      <c r="Q53" s="110"/>
      <c r="R53" s="68">
        <f t="shared" si="4"/>
        <v>0</v>
      </c>
      <c r="S53" s="79">
        <f t="shared" si="5"/>
        <v>0</v>
      </c>
      <c r="T53" s="174">
        <f t="shared" si="6"/>
        <v>0</v>
      </c>
    </row>
    <row r="54" spans="1:20" ht="16.5" thickBot="1">
      <c r="A54" s="5">
        <v>42</v>
      </c>
      <c r="B54" s="19" t="s">
        <v>49</v>
      </c>
      <c r="C54" s="87">
        <f>C46+C47+C48+C49+C51+C52+C53</f>
        <v>126810</v>
      </c>
      <c r="D54" s="87">
        <f>D46+D47+D48+D49+D51+D52+D53</f>
        <v>0</v>
      </c>
      <c r="E54" s="168">
        <f t="shared" si="1"/>
        <v>126810</v>
      </c>
      <c r="F54" s="87">
        <f>F46+F47+F48+F49+F51+F52+F53</f>
        <v>249401</v>
      </c>
      <c r="G54" s="87">
        <f>G46+G47+G48+G49+G51+G52+G53</f>
        <v>992</v>
      </c>
      <c r="H54" s="168">
        <f t="shared" si="2"/>
        <v>250393</v>
      </c>
      <c r="I54" s="87">
        <f>I46+I47+I48+I49+I51+I52+I53</f>
        <v>152648</v>
      </c>
      <c r="J54" s="87">
        <f>J46+J47+J48+J49+J51+J52+J53</f>
        <v>0</v>
      </c>
      <c r="K54" s="168">
        <f t="shared" si="3"/>
        <v>152648</v>
      </c>
      <c r="L54" s="86"/>
      <c r="M54" s="87"/>
      <c r="N54" s="88"/>
      <c r="O54" s="86"/>
      <c r="P54" s="87"/>
      <c r="Q54" s="88"/>
      <c r="R54" s="86">
        <f t="shared" si="4"/>
        <v>528859</v>
      </c>
      <c r="S54" s="87">
        <f t="shared" si="5"/>
        <v>992</v>
      </c>
      <c r="T54" s="168">
        <f t="shared" si="6"/>
        <v>529851</v>
      </c>
    </row>
    <row r="55" spans="1:20" ht="16.5" thickBot="1">
      <c r="A55" s="6">
        <v>43</v>
      </c>
      <c r="B55" s="13" t="s">
        <v>40</v>
      </c>
      <c r="C55" s="90"/>
      <c r="D55" s="90"/>
      <c r="E55" s="165">
        <f t="shared" si="1"/>
        <v>0</v>
      </c>
      <c r="F55" s="90"/>
      <c r="G55" s="90"/>
      <c r="H55" s="165">
        <f t="shared" si="2"/>
        <v>0</v>
      </c>
      <c r="I55" s="90"/>
      <c r="J55" s="90"/>
      <c r="K55" s="165">
        <f t="shared" si="3"/>
        <v>0</v>
      </c>
      <c r="L55" s="89"/>
      <c r="M55" s="90"/>
      <c r="N55" s="82"/>
      <c r="O55" s="89"/>
      <c r="P55" s="90"/>
      <c r="Q55" s="82"/>
      <c r="R55" s="89">
        <f t="shared" si="4"/>
        <v>0</v>
      </c>
      <c r="S55" s="90">
        <f t="shared" si="5"/>
        <v>0</v>
      </c>
      <c r="T55" s="165">
        <f t="shared" si="6"/>
        <v>0</v>
      </c>
    </row>
    <row r="56" spans="1:20" s="115" customFormat="1" ht="16.5" thickBot="1">
      <c r="A56" s="5">
        <v>44</v>
      </c>
      <c r="B56" s="20" t="s">
        <v>76</v>
      </c>
      <c r="C56" s="113">
        <f>C43+C44+C45+C54+C55</f>
        <v>157801</v>
      </c>
      <c r="D56" s="113">
        <f>D43+D44+D45+D54+D55</f>
        <v>0</v>
      </c>
      <c r="E56" s="175">
        <f t="shared" si="1"/>
        <v>157801</v>
      </c>
      <c r="F56" s="113">
        <f>F43+F44+F45+F54+F55</f>
        <v>359558</v>
      </c>
      <c r="G56" s="113">
        <f>G43+G44+G45+G54+G55</f>
        <v>992</v>
      </c>
      <c r="H56" s="175">
        <f t="shared" si="2"/>
        <v>360550</v>
      </c>
      <c r="I56" s="113">
        <f>I43+I44+I45+I54+I55</f>
        <v>152648</v>
      </c>
      <c r="J56" s="113">
        <f>J43+J44+J45+J54+J55</f>
        <v>0</v>
      </c>
      <c r="K56" s="175">
        <f t="shared" si="3"/>
        <v>152648</v>
      </c>
      <c r="L56" s="112"/>
      <c r="M56" s="113"/>
      <c r="N56" s="114"/>
      <c r="O56" s="112"/>
      <c r="P56" s="113"/>
      <c r="Q56" s="114"/>
      <c r="R56" s="112">
        <f t="shared" si="4"/>
        <v>670007</v>
      </c>
      <c r="S56" s="113">
        <f t="shared" si="5"/>
        <v>992</v>
      </c>
      <c r="T56" s="175">
        <f t="shared" si="6"/>
        <v>670999</v>
      </c>
    </row>
    <row r="57" spans="1:20" s="115" customFormat="1" ht="15.75">
      <c r="A57" s="212">
        <v>45</v>
      </c>
      <c r="B57" s="213" t="s">
        <v>113</v>
      </c>
      <c r="C57" s="113">
        <v>16221</v>
      </c>
      <c r="D57" s="113"/>
      <c r="E57" s="175">
        <f t="shared" si="1"/>
        <v>16221</v>
      </c>
      <c r="F57" s="113">
        <v>55601</v>
      </c>
      <c r="G57" s="113"/>
      <c r="H57" s="175">
        <f t="shared" si="2"/>
        <v>55601</v>
      </c>
      <c r="I57" s="113">
        <v>15219</v>
      </c>
      <c r="J57" s="113"/>
      <c r="K57" s="175">
        <f t="shared" si="3"/>
        <v>15219</v>
      </c>
      <c r="L57" s="112"/>
      <c r="M57" s="113"/>
      <c r="N57" s="114"/>
      <c r="O57" s="112"/>
      <c r="P57" s="113"/>
      <c r="Q57" s="114"/>
      <c r="R57" s="112">
        <f t="shared" si="4"/>
        <v>87041</v>
      </c>
      <c r="S57" s="113">
        <f t="shared" si="5"/>
        <v>0</v>
      </c>
      <c r="T57" s="175">
        <f t="shared" si="6"/>
        <v>87041</v>
      </c>
    </row>
    <row r="58" spans="1:20" s="115" customFormat="1" ht="15.75">
      <c r="A58" s="6">
        <v>46</v>
      </c>
      <c r="B58" s="13" t="s">
        <v>44</v>
      </c>
      <c r="C58" s="113"/>
      <c r="D58" s="113"/>
      <c r="E58" s="175">
        <f t="shared" si="1"/>
        <v>0</v>
      </c>
      <c r="F58" s="113"/>
      <c r="G58" s="113"/>
      <c r="H58" s="175">
        <f t="shared" si="2"/>
        <v>0</v>
      </c>
      <c r="I58" s="113"/>
      <c r="J58" s="113"/>
      <c r="K58" s="175">
        <f t="shared" si="3"/>
        <v>0</v>
      </c>
      <c r="L58" s="112"/>
      <c r="M58" s="113"/>
      <c r="N58" s="114"/>
      <c r="O58" s="112"/>
      <c r="P58" s="113"/>
      <c r="Q58" s="114"/>
      <c r="R58" s="112">
        <f t="shared" si="4"/>
        <v>0</v>
      </c>
      <c r="S58" s="113">
        <f t="shared" si="5"/>
        <v>0</v>
      </c>
      <c r="T58" s="175">
        <f t="shared" si="6"/>
        <v>0</v>
      </c>
    </row>
    <row r="59" spans="1:20" ht="15.75">
      <c r="A59" s="6">
        <v>47</v>
      </c>
      <c r="B59" s="15" t="s">
        <v>41</v>
      </c>
      <c r="C59" s="73"/>
      <c r="D59" s="73"/>
      <c r="E59" s="166">
        <f t="shared" si="1"/>
        <v>0</v>
      </c>
      <c r="F59" s="73"/>
      <c r="G59" s="73"/>
      <c r="H59" s="166">
        <f t="shared" si="2"/>
        <v>0</v>
      </c>
      <c r="I59" s="73"/>
      <c r="J59" s="73"/>
      <c r="K59" s="166">
        <f t="shared" si="3"/>
        <v>0</v>
      </c>
      <c r="L59" s="91"/>
      <c r="M59" s="73"/>
      <c r="N59" s="75"/>
      <c r="O59" s="91"/>
      <c r="P59" s="73"/>
      <c r="Q59" s="75"/>
      <c r="R59" s="91">
        <f t="shared" si="4"/>
        <v>0</v>
      </c>
      <c r="S59" s="73">
        <f t="shared" si="5"/>
        <v>0</v>
      </c>
      <c r="T59" s="166">
        <f t="shared" si="6"/>
        <v>0</v>
      </c>
    </row>
    <row r="60" spans="1:20" ht="16.5" thickBot="1">
      <c r="A60" s="6">
        <v>48</v>
      </c>
      <c r="B60" s="15" t="s">
        <v>42</v>
      </c>
      <c r="C60" s="73"/>
      <c r="D60" s="73"/>
      <c r="E60" s="166">
        <f t="shared" si="1"/>
        <v>0</v>
      </c>
      <c r="F60" s="73"/>
      <c r="G60" s="73"/>
      <c r="H60" s="166">
        <f t="shared" si="2"/>
        <v>0</v>
      </c>
      <c r="I60" s="73"/>
      <c r="J60" s="73"/>
      <c r="K60" s="166">
        <f t="shared" si="3"/>
        <v>0</v>
      </c>
      <c r="L60" s="91"/>
      <c r="M60" s="73"/>
      <c r="N60" s="75"/>
      <c r="O60" s="91"/>
      <c r="P60" s="73"/>
      <c r="Q60" s="75"/>
      <c r="R60" s="91">
        <f t="shared" si="4"/>
        <v>0</v>
      </c>
      <c r="S60" s="73">
        <f t="shared" si="5"/>
        <v>0</v>
      </c>
      <c r="T60" s="166">
        <f t="shared" si="6"/>
        <v>0</v>
      </c>
    </row>
    <row r="61" spans="1:20" ht="16.5" thickBot="1">
      <c r="A61" s="5">
        <v>49</v>
      </c>
      <c r="B61" s="20" t="s">
        <v>50</v>
      </c>
      <c r="C61" s="117">
        <f>SUM(C58:C60)</f>
        <v>0</v>
      </c>
      <c r="D61" s="117">
        <f>SUM(D58:D60)</f>
        <v>0</v>
      </c>
      <c r="E61" s="176">
        <f t="shared" si="1"/>
        <v>0</v>
      </c>
      <c r="F61" s="117">
        <f>SUM(F58:F60)</f>
        <v>0</v>
      </c>
      <c r="G61" s="117">
        <f>SUM(G58:G60)</f>
        <v>0</v>
      </c>
      <c r="H61" s="176">
        <f t="shared" si="2"/>
        <v>0</v>
      </c>
      <c r="I61" s="117">
        <f>SUM(I58:I60)</f>
        <v>0</v>
      </c>
      <c r="J61" s="117">
        <f>SUM(J58:J60)</f>
        <v>0</v>
      </c>
      <c r="K61" s="176">
        <f t="shared" si="3"/>
        <v>0</v>
      </c>
      <c r="L61" s="116"/>
      <c r="M61" s="117"/>
      <c r="N61" s="118"/>
      <c r="O61" s="116"/>
      <c r="P61" s="117"/>
      <c r="Q61" s="118"/>
      <c r="R61" s="116">
        <f t="shared" si="4"/>
        <v>0</v>
      </c>
      <c r="S61" s="117">
        <f t="shared" si="5"/>
        <v>0</v>
      </c>
      <c r="T61" s="176">
        <f t="shared" si="6"/>
        <v>0</v>
      </c>
    </row>
    <row r="62" spans="1:20" ht="16.5" thickBot="1">
      <c r="A62" s="229" t="s">
        <v>77</v>
      </c>
      <c r="B62" s="230"/>
      <c r="C62" s="120">
        <f>C56+C61+C57</f>
        <v>174022</v>
      </c>
      <c r="D62" s="120">
        <f>D56+D61+D57</f>
        <v>0</v>
      </c>
      <c r="E62" s="177">
        <f t="shared" si="1"/>
        <v>174022</v>
      </c>
      <c r="F62" s="120">
        <f>F56+F61+F57</f>
        <v>415159</v>
      </c>
      <c r="G62" s="120">
        <f>G56+G61+G57</f>
        <v>992</v>
      </c>
      <c r="H62" s="182">
        <f t="shared" si="2"/>
        <v>416151</v>
      </c>
      <c r="I62" s="120">
        <f>I56+I61+I57</f>
        <v>167867</v>
      </c>
      <c r="J62" s="120">
        <f>J56+J61+J57</f>
        <v>0</v>
      </c>
      <c r="K62" s="182">
        <f t="shared" si="3"/>
        <v>167867</v>
      </c>
      <c r="L62" s="119"/>
      <c r="M62" s="120"/>
      <c r="N62" s="121"/>
      <c r="O62" s="119"/>
      <c r="P62" s="120"/>
      <c r="Q62" s="122"/>
      <c r="R62" s="119">
        <f t="shared" si="4"/>
        <v>757048</v>
      </c>
      <c r="S62" s="120">
        <f t="shared" si="5"/>
        <v>992</v>
      </c>
      <c r="T62" s="177">
        <f t="shared" si="6"/>
        <v>758040</v>
      </c>
    </row>
    <row r="63" spans="1:20" ht="17.25" thickTop="1" thickBot="1">
      <c r="A63" s="215"/>
      <c r="B63" s="216"/>
      <c r="C63" s="69"/>
      <c r="D63" s="69"/>
      <c r="E63" s="178"/>
      <c r="F63" s="69"/>
      <c r="G63" s="69"/>
      <c r="H63" s="178"/>
      <c r="I63" s="69"/>
      <c r="J63" s="69"/>
      <c r="K63" s="178"/>
      <c r="L63" s="123"/>
      <c r="M63" s="69"/>
      <c r="N63" s="124"/>
      <c r="O63" s="123"/>
      <c r="P63" s="69"/>
      <c r="Q63" s="124"/>
      <c r="R63" s="123"/>
      <c r="S63" s="69"/>
      <c r="T63" s="178"/>
    </row>
    <row r="64" spans="1:20" ht="16.5" thickBot="1">
      <c r="A64" s="9">
        <v>50</v>
      </c>
      <c r="B64" s="11" t="s">
        <v>43</v>
      </c>
      <c r="C64" s="203">
        <v>40.25</v>
      </c>
      <c r="D64" s="203"/>
      <c r="E64" s="204">
        <f t="shared" si="1"/>
        <v>40.25</v>
      </c>
      <c r="F64" s="203">
        <v>95</v>
      </c>
      <c r="G64" s="203"/>
      <c r="H64" s="204">
        <f t="shared" si="2"/>
        <v>95</v>
      </c>
      <c r="I64" s="203">
        <v>26</v>
      </c>
      <c r="J64" s="203"/>
      <c r="K64" s="204">
        <f t="shared" si="3"/>
        <v>26</v>
      </c>
      <c r="L64" s="205"/>
      <c r="M64" s="203"/>
      <c r="N64" s="204"/>
      <c r="O64" s="206"/>
      <c r="P64" s="203"/>
      <c r="Q64" s="204"/>
      <c r="R64" s="206">
        <f t="shared" si="4"/>
        <v>161.25</v>
      </c>
      <c r="S64" s="203">
        <f t="shared" si="5"/>
        <v>0</v>
      </c>
      <c r="T64" s="204">
        <f t="shared" si="6"/>
        <v>161.25</v>
      </c>
    </row>
    <row r="65" spans="1:20" ht="14.25">
      <c r="A65" s="125"/>
      <c r="B65" s="125"/>
      <c r="C65" s="125"/>
      <c r="D65" s="126"/>
      <c r="E65" s="127"/>
      <c r="F65" s="125"/>
      <c r="G65" s="126"/>
      <c r="H65" s="127"/>
      <c r="I65" s="125"/>
      <c r="J65" s="126"/>
      <c r="K65" s="127"/>
      <c r="L65" s="125"/>
      <c r="M65" s="126"/>
      <c r="N65" s="127"/>
      <c r="R65" s="125"/>
      <c r="S65" s="126"/>
      <c r="T65" s="127"/>
    </row>
    <row r="66" spans="1:20" ht="18">
      <c r="A66" s="128"/>
      <c r="B66" s="128"/>
      <c r="C66" s="128"/>
      <c r="D66" s="129"/>
      <c r="E66" s="130"/>
      <c r="F66" s="128"/>
      <c r="G66" s="129"/>
      <c r="H66" s="130"/>
      <c r="I66" s="128"/>
      <c r="J66" s="129"/>
      <c r="K66" s="130"/>
      <c r="L66" s="128"/>
      <c r="M66" s="129"/>
      <c r="N66" s="130"/>
      <c r="R66" s="128"/>
      <c r="S66" s="129"/>
      <c r="T66" s="130"/>
    </row>
    <row r="67" spans="1:20">
      <c r="A67" s="58"/>
      <c r="B67" s="131"/>
    </row>
    <row r="68" spans="1:20">
      <c r="A68" s="58"/>
      <c r="B68" s="131"/>
    </row>
    <row r="69" spans="1:20">
      <c r="A69" s="58"/>
      <c r="B69" s="131"/>
    </row>
    <row r="70" spans="1:20">
      <c r="A70" s="58"/>
      <c r="B70" s="131"/>
    </row>
    <row r="71" spans="1:20">
      <c r="A71" s="58"/>
      <c r="B71" s="131"/>
    </row>
    <row r="72" spans="1:20">
      <c r="A72" s="58"/>
      <c r="B72" s="131"/>
    </row>
    <row r="73" spans="1:20">
      <c r="A73" s="58"/>
      <c r="B73" s="131"/>
    </row>
    <row r="74" spans="1:20">
      <c r="A74" s="58"/>
      <c r="B74" s="131"/>
    </row>
    <row r="75" spans="1:20">
      <c r="A75" s="58"/>
      <c r="B75" s="131"/>
    </row>
    <row r="76" spans="1:20">
      <c r="A76" s="58"/>
      <c r="B76" s="131"/>
    </row>
    <row r="77" spans="1:20">
      <c r="A77" s="58"/>
      <c r="B77" s="131"/>
    </row>
    <row r="78" spans="1:20">
      <c r="A78" s="58"/>
      <c r="B78" s="131"/>
    </row>
    <row r="79" spans="1:20">
      <c r="A79" s="58"/>
      <c r="B79" s="131"/>
    </row>
    <row r="80" spans="1:20">
      <c r="A80" s="58"/>
      <c r="B80" s="131"/>
    </row>
    <row r="81" spans="1:2">
      <c r="A81" s="58"/>
      <c r="B81" s="131"/>
    </row>
    <row r="82" spans="1:2">
      <c r="A82" s="58"/>
      <c r="B82" s="131"/>
    </row>
    <row r="83" spans="1:2">
      <c r="A83" s="58"/>
      <c r="B83" s="131"/>
    </row>
    <row r="84" spans="1:2">
      <c r="A84" s="58"/>
      <c r="B84" s="131"/>
    </row>
    <row r="85" spans="1:2">
      <c r="A85" s="58"/>
      <c r="B85" s="131"/>
    </row>
    <row r="86" spans="1:2">
      <c r="A86" s="58"/>
      <c r="B86" s="131"/>
    </row>
    <row r="87" spans="1:2">
      <c r="A87" s="58"/>
      <c r="B87" s="131"/>
    </row>
    <row r="88" spans="1:2">
      <c r="A88" s="58"/>
      <c r="B88" s="131"/>
    </row>
    <row r="89" spans="1:2">
      <c r="A89" s="58"/>
      <c r="B89" s="131"/>
    </row>
    <row r="90" spans="1:2">
      <c r="A90" s="58"/>
      <c r="B90" s="131"/>
    </row>
    <row r="91" spans="1:2">
      <c r="A91" s="58"/>
      <c r="B91" s="131"/>
    </row>
    <row r="92" spans="1:2">
      <c r="A92" s="58"/>
      <c r="B92" s="131"/>
    </row>
    <row r="93" spans="1:2">
      <c r="A93" s="58"/>
      <c r="B93" s="131"/>
    </row>
    <row r="94" spans="1:2">
      <c r="A94" s="58"/>
      <c r="B94" s="131"/>
    </row>
    <row r="95" spans="1:2">
      <c r="A95" s="58"/>
      <c r="B95" s="131"/>
    </row>
    <row r="96" spans="1:2">
      <c r="A96" s="58"/>
      <c r="B96" s="131"/>
    </row>
    <row r="97" spans="1:2">
      <c r="A97" s="58"/>
      <c r="B97" s="131"/>
    </row>
    <row r="98" spans="1:2">
      <c r="A98" s="58"/>
      <c r="B98" s="131"/>
    </row>
    <row r="99" spans="1:2">
      <c r="A99" s="58"/>
      <c r="B99" s="131"/>
    </row>
    <row r="100" spans="1:2">
      <c r="A100" s="58"/>
      <c r="B100" s="131"/>
    </row>
    <row r="101" spans="1:2">
      <c r="A101" s="58"/>
      <c r="B101" s="131"/>
    </row>
    <row r="102" spans="1:2">
      <c r="A102" s="58"/>
      <c r="B102" s="131"/>
    </row>
    <row r="103" spans="1:2">
      <c r="A103" s="58"/>
      <c r="B103" s="131"/>
    </row>
    <row r="104" spans="1:2">
      <c r="A104" s="58"/>
      <c r="B104" s="131"/>
    </row>
    <row r="105" spans="1:2">
      <c r="A105" s="58"/>
      <c r="B105" s="131"/>
    </row>
    <row r="106" spans="1:2">
      <c r="A106" s="58"/>
      <c r="B106" s="131"/>
    </row>
    <row r="107" spans="1:2">
      <c r="A107" s="58"/>
      <c r="B107" s="131"/>
    </row>
    <row r="108" spans="1:2">
      <c r="A108" s="58"/>
      <c r="B108" s="131"/>
    </row>
    <row r="109" spans="1:2">
      <c r="A109" s="58"/>
      <c r="B109" s="131"/>
    </row>
    <row r="110" spans="1:2">
      <c r="A110" s="58"/>
      <c r="B110" s="131"/>
    </row>
    <row r="111" spans="1:2">
      <c r="A111" s="58"/>
      <c r="B111" s="131"/>
    </row>
    <row r="112" spans="1:2">
      <c r="A112" s="58"/>
      <c r="B112" s="131"/>
    </row>
    <row r="113" spans="1:2">
      <c r="A113" s="58"/>
      <c r="B113" s="131"/>
    </row>
    <row r="114" spans="1:2">
      <c r="A114" s="58"/>
      <c r="B114" s="131"/>
    </row>
    <row r="115" spans="1:2">
      <c r="A115" s="58"/>
      <c r="B115" s="131"/>
    </row>
    <row r="116" spans="1:2">
      <c r="A116" s="58"/>
      <c r="B116" s="131"/>
    </row>
    <row r="117" spans="1:2">
      <c r="A117" s="58"/>
      <c r="B117" s="131"/>
    </row>
    <row r="118" spans="1:2">
      <c r="A118" s="58"/>
      <c r="B118" s="131"/>
    </row>
    <row r="119" spans="1:2">
      <c r="A119" s="58"/>
      <c r="B119" s="131"/>
    </row>
    <row r="120" spans="1:2">
      <c r="A120" s="58"/>
      <c r="B120" s="131"/>
    </row>
    <row r="121" spans="1:2">
      <c r="A121" s="58"/>
      <c r="B121" s="131"/>
    </row>
    <row r="122" spans="1:2">
      <c r="A122" s="58"/>
      <c r="B122" s="131"/>
    </row>
    <row r="123" spans="1:2">
      <c r="A123" s="58"/>
      <c r="B123" s="131"/>
    </row>
    <row r="124" spans="1:2">
      <c r="A124" s="58"/>
      <c r="B124" s="131"/>
    </row>
    <row r="125" spans="1:2">
      <c r="A125" s="58"/>
      <c r="B125" s="131"/>
    </row>
    <row r="126" spans="1:2">
      <c r="A126" s="58"/>
      <c r="B126" s="131"/>
    </row>
    <row r="127" spans="1:2">
      <c r="A127" s="58"/>
      <c r="B127" s="131"/>
    </row>
    <row r="128" spans="1:2">
      <c r="A128" s="58"/>
      <c r="B128" s="131"/>
    </row>
    <row r="129" spans="1:2">
      <c r="A129" s="58"/>
      <c r="B129" s="131"/>
    </row>
    <row r="130" spans="1:2">
      <c r="A130" s="58"/>
      <c r="B130" s="131"/>
    </row>
    <row r="131" spans="1:2">
      <c r="A131" s="58"/>
      <c r="B131" s="131"/>
    </row>
    <row r="132" spans="1:2">
      <c r="A132" s="58"/>
      <c r="B132" s="131"/>
    </row>
    <row r="133" spans="1:2">
      <c r="A133" s="58"/>
      <c r="B133" s="131"/>
    </row>
    <row r="134" spans="1:2">
      <c r="A134" s="58"/>
      <c r="B134" s="131"/>
    </row>
    <row r="135" spans="1:2">
      <c r="A135" s="58"/>
      <c r="B135" s="131"/>
    </row>
    <row r="136" spans="1:2">
      <c r="A136" s="58"/>
      <c r="B136" s="131"/>
    </row>
    <row r="137" spans="1:2">
      <c r="A137" s="58"/>
      <c r="B137" s="131"/>
    </row>
    <row r="138" spans="1:2">
      <c r="A138" s="58"/>
      <c r="B138" s="131"/>
    </row>
    <row r="139" spans="1:2">
      <c r="A139" s="58"/>
      <c r="B139" s="131"/>
    </row>
    <row r="140" spans="1:2">
      <c r="A140" s="58"/>
      <c r="B140" s="131"/>
    </row>
    <row r="141" spans="1:2">
      <c r="A141" s="58"/>
      <c r="B141" s="131"/>
    </row>
    <row r="142" spans="1:2">
      <c r="A142" s="58"/>
      <c r="B142" s="131"/>
    </row>
    <row r="143" spans="1:2">
      <c r="A143" s="58"/>
      <c r="B143" s="131"/>
    </row>
    <row r="144" spans="1:2">
      <c r="A144" s="58"/>
      <c r="B144" s="131"/>
    </row>
    <row r="145" spans="1:2">
      <c r="A145" s="58"/>
      <c r="B145" s="131"/>
    </row>
    <row r="146" spans="1:2">
      <c r="A146" s="58"/>
      <c r="B146" s="131"/>
    </row>
    <row r="147" spans="1:2">
      <c r="A147" s="58"/>
      <c r="B147" s="131"/>
    </row>
    <row r="148" spans="1:2">
      <c r="A148" s="58"/>
      <c r="B148" s="131"/>
    </row>
    <row r="149" spans="1:2">
      <c r="A149" s="58"/>
      <c r="B149" s="131"/>
    </row>
    <row r="150" spans="1:2">
      <c r="A150" s="58"/>
      <c r="B150" s="131"/>
    </row>
    <row r="151" spans="1:2">
      <c r="A151" s="58"/>
      <c r="B151" s="131"/>
    </row>
    <row r="152" spans="1:2">
      <c r="A152" s="58"/>
      <c r="B152" s="131"/>
    </row>
    <row r="153" spans="1:2">
      <c r="A153" s="58"/>
      <c r="B153" s="131"/>
    </row>
    <row r="154" spans="1:2">
      <c r="A154" s="58"/>
      <c r="B154" s="131"/>
    </row>
    <row r="155" spans="1:2">
      <c r="A155" s="58"/>
      <c r="B155" s="131"/>
    </row>
    <row r="156" spans="1:2">
      <c r="A156" s="58"/>
      <c r="B156" s="131"/>
    </row>
    <row r="157" spans="1:2">
      <c r="A157" s="58"/>
      <c r="B157" s="131"/>
    </row>
    <row r="158" spans="1:2">
      <c r="A158" s="58"/>
      <c r="B158" s="131"/>
    </row>
    <row r="159" spans="1:2">
      <c r="A159" s="58"/>
      <c r="B159" s="131"/>
    </row>
    <row r="160" spans="1:2">
      <c r="A160" s="58"/>
      <c r="B160" s="131"/>
    </row>
    <row r="161" spans="1:2">
      <c r="A161" s="58"/>
      <c r="B161" s="131"/>
    </row>
    <row r="162" spans="1:2">
      <c r="A162" s="58"/>
      <c r="B162" s="131"/>
    </row>
    <row r="163" spans="1:2">
      <c r="A163" s="58"/>
      <c r="B163" s="131"/>
    </row>
    <row r="164" spans="1:2">
      <c r="A164" s="58"/>
      <c r="B164" s="131"/>
    </row>
    <row r="165" spans="1:2">
      <c r="A165" s="58"/>
      <c r="B165" s="131"/>
    </row>
    <row r="166" spans="1:2">
      <c r="A166" s="58"/>
      <c r="B166" s="131"/>
    </row>
    <row r="167" spans="1:2">
      <c r="A167" s="58"/>
      <c r="B167" s="131"/>
    </row>
    <row r="168" spans="1:2">
      <c r="A168" s="58"/>
      <c r="B168" s="131"/>
    </row>
    <row r="169" spans="1:2">
      <c r="A169" s="58"/>
      <c r="B169" s="131"/>
    </row>
    <row r="170" spans="1:2">
      <c r="A170" s="58"/>
      <c r="B170" s="131"/>
    </row>
    <row r="171" spans="1:2">
      <c r="A171" s="58"/>
      <c r="B171" s="131"/>
    </row>
    <row r="172" spans="1:2">
      <c r="A172" s="58"/>
      <c r="B172" s="131"/>
    </row>
    <row r="173" spans="1:2">
      <c r="A173" s="58"/>
      <c r="B173" s="131"/>
    </row>
    <row r="174" spans="1:2">
      <c r="A174" s="58"/>
      <c r="B174" s="131"/>
    </row>
    <row r="175" spans="1:2">
      <c r="A175" s="58"/>
      <c r="B175" s="131"/>
    </row>
    <row r="176" spans="1:2">
      <c r="A176" s="58"/>
      <c r="B176" s="131"/>
    </row>
    <row r="177" spans="1:2">
      <c r="A177" s="58"/>
      <c r="B177" s="131"/>
    </row>
    <row r="178" spans="1:2">
      <c r="A178" s="58"/>
      <c r="B178" s="131"/>
    </row>
    <row r="179" spans="1:2">
      <c r="A179" s="58"/>
      <c r="B179" s="131"/>
    </row>
    <row r="180" spans="1:2">
      <c r="A180" s="58"/>
      <c r="B180" s="131"/>
    </row>
    <row r="181" spans="1:2">
      <c r="A181" s="58"/>
      <c r="B181" s="131"/>
    </row>
    <row r="182" spans="1:2">
      <c r="A182" s="58"/>
      <c r="B182" s="131"/>
    </row>
    <row r="183" spans="1:2">
      <c r="A183" s="58"/>
      <c r="B183" s="131"/>
    </row>
    <row r="184" spans="1:2">
      <c r="A184" s="58"/>
      <c r="B184" s="131"/>
    </row>
    <row r="185" spans="1:2">
      <c r="A185" s="58"/>
      <c r="B185" s="131"/>
    </row>
    <row r="186" spans="1:2">
      <c r="A186" s="58"/>
      <c r="B186" s="131"/>
    </row>
    <row r="187" spans="1:2">
      <c r="A187" s="58"/>
      <c r="B187" s="131"/>
    </row>
    <row r="188" spans="1:2">
      <c r="A188" s="58"/>
      <c r="B188" s="131"/>
    </row>
    <row r="189" spans="1:2">
      <c r="A189" s="58"/>
      <c r="B189" s="131"/>
    </row>
    <row r="190" spans="1:2">
      <c r="A190" s="58"/>
      <c r="B190" s="131"/>
    </row>
    <row r="191" spans="1:2">
      <c r="A191" s="58"/>
      <c r="B191" s="131"/>
    </row>
    <row r="192" spans="1:2">
      <c r="A192" s="58"/>
      <c r="B192" s="131"/>
    </row>
    <row r="193" spans="1:2">
      <c r="A193" s="58"/>
      <c r="B193" s="131"/>
    </row>
    <row r="194" spans="1:2">
      <c r="A194" s="58"/>
      <c r="B194" s="131"/>
    </row>
    <row r="195" spans="1:2">
      <c r="A195" s="58"/>
      <c r="B195" s="131"/>
    </row>
    <row r="196" spans="1:2">
      <c r="A196" s="58"/>
      <c r="B196" s="131"/>
    </row>
    <row r="197" spans="1:2">
      <c r="A197" s="58"/>
      <c r="B197" s="131"/>
    </row>
    <row r="198" spans="1:2">
      <c r="A198" s="58"/>
      <c r="B198" s="131"/>
    </row>
    <row r="199" spans="1:2">
      <c r="A199" s="58"/>
      <c r="B199" s="131"/>
    </row>
    <row r="200" spans="1:2">
      <c r="A200" s="58"/>
      <c r="B200" s="131"/>
    </row>
    <row r="201" spans="1:2">
      <c r="A201" s="58"/>
      <c r="B201" s="131"/>
    </row>
    <row r="202" spans="1:2">
      <c r="A202" s="58"/>
      <c r="B202" s="131"/>
    </row>
    <row r="203" spans="1:2">
      <c r="A203" s="58"/>
      <c r="B203" s="131"/>
    </row>
    <row r="204" spans="1:2">
      <c r="A204" s="58"/>
      <c r="B204" s="131"/>
    </row>
    <row r="205" spans="1:2">
      <c r="A205" s="58"/>
      <c r="B205" s="131"/>
    </row>
    <row r="206" spans="1:2">
      <c r="A206" s="58"/>
      <c r="B206" s="131"/>
    </row>
    <row r="207" spans="1:2">
      <c r="A207" s="58"/>
      <c r="B207" s="131"/>
    </row>
    <row r="208" spans="1:2">
      <c r="A208" s="58"/>
      <c r="B208" s="131"/>
    </row>
    <row r="209" spans="1:2">
      <c r="A209" s="58"/>
      <c r="B209" s="131"/>
    </row>
    <row r="210" spans="1:2">
      <c r="A210" s="58"/>
      <c r="B210" s="131"/>
    </row>
    <row r="211" spans="1:2">
      <c r="A211" s="58"/>
      <c r="B211" s="131"/>
    </row>
    <row r="212" spans="1:2">
      <c r="A212" s="58"/>
      <c r="B212" s="131"/>
    </row>
    <row r="213" spans="1:2">
      <c r="A213" s="58"/>
      <c r="B213" s="131"/>
    </row>
    <row r="214" spans="1:2">
      <c r="A214" s="58"/>
      <c r="B214" s="131"/>
    </row>
    <row r="215" spans="1:2">
      <c r="A215" s="58"/>
      <c r="B215" s="131"/>
    </row>
    <row r="216" spans="1:2">
      <c r="A216" s="58"/>
      <c r="B216" s="131"/>
    </row>
    <row r="217" spans="1:2">
      <c r="A217" s="58"/>
      <c r="B217" s="131"/>
    </row>
    <row r="218" spans="1:2">
      <c r="A218" s="58"/>
      <c r="B218" s="131"/>
    </row>
    <row r="219" spans="1:2">
      <c r="A219" s="58"/>
      <c r="B219" s="131"/>
    </row>
    <row r="220" spans="1:2">
      <c r="A220" s="58"/>
      <c r="B220" s="131"/>
    </row>
    <row r="221" spans="1:2">
      <c r="A221" s="58"/>
      <c r="B221" s="131"/>
    </row>
    <row r="222" spans="1:2">
      <c r="A222" s="58"/>
      <c r="B222" s="131"/>
    </row>
    <row r="223" spans="1:2">
      <c r="A223" s="58"/>
      <c r="B223" s="131"/>
    </row>
    <row r="224" spans="1:2">
      <c r="A224" s="58"/>
      <c r="B224" s="131"/>
    </row>
    <row r="225" spans="1:2">
      <c r="A225" s="58"/>
      <c r="B225" s="131"/>
    </row>
    <row r="226" spans="1:2">
      <c r="A226" s="58"/>
      <c r="B226" s="131"/>
    </row>
    <row r="227" spans="1:2">
      <c r="A227" s="58"/>
      <c r="B227" s="131"/>
    </row>
    <row r="228" spans="1:2">
      <c r="A228" s="58"/>
      <c r="B228" s="131"/>
    </row>
    <row r="229" spans="1:2">
      <c r="A229" s="58"/>
      <c r="B229" s="131"/>
    </row>
    <row r="230" spans="1:2">
      <c r="A230" s="58"/>
      <c r="B230" s="131"/>
    </row>
    <row r="231" spans="1:2">
      <c r="A231" s="58"/>
      <c r="B231" s="131"/>
    </row>
    <row r="232" spans="1:2">
      <c r="A232" s="58"/>
      <c r="B232" s="131"/>
    </row>
    <row r="233" spans="1:2">
      <c r="A233" s="58"/>
      <c r="B233" s="131"/>
    </row>
    <row r="234" spans="1:2">
      <c r="A234" s="58"/>
      <c r="B234" s="131"/>
    </row>
    <row r="235" spans="1:2">
      <c r="A235" s="58"/>
      <c r="B235" s="131"/>
    </row>
    <row r="236" spans="1:2">
      <c r="A236" s="58"/>
      <c r="B236" s="131"/>
    </row>
    <row r="237" spans="1:2">
      <c r="A237" s="58"/>
      <c r="B237" s="131"/>
    </row>
    <row r="238" spans="1:2">
      <c r="A238" s="58"/>
      <c r="B238" s="131"/>
    </row>
    <row r="239" spans="1:2">
      <c r="A239" s="58"/>
      <c r="B239" s="131"/>
    </row>
    <row r="240" spans="1:2">
      <c r="A240" s="58"/>
      <c r="B240" s="131"/>
    </row>
    <row r="241" spans="1:2">
      <c r="A241" s="58"/>
      <c r="B241" s="131"/>
    </row>
    <row r="242" spans="1:2">
      <c r="A242" s="58"/>
      <c r="B242" s="131"/>
    </row>
    <row r="243" spans="1:2">
      <c r="A243" s="58"/>
      <c r="B243" s="131"/>
    </row>
    <row r="244" spans="1:2">
      <c r="A244" s="58"/>
      <c r="B244" s="131"/>
    </row>
    <row r="245" spans="1:2">
      <c r="A245" s="58"/>
      <c r="B245" s="131"/>
    </row>
    <row r="246" spans="1:2">
      <c r="A246" s="58"/>
      <c r="B246" s="131"/>
    </row>
    <row r="247" spans="1:2">
      <c r="A247" s="58"/>
      <c r="B247" s="131"/>
    </row>
    <row r="248" spans="1:2">
      <c r="A248" s="58"/>
      <c r="B248" s="131"/>
    </row>
    <row r="249" spans="1:2">
      <c r="A249" s="58"/>
      <c r="B249" s="131"/>
    </row>
    <row r="250" spans="1:2">
      <c r="A250" s="58"/>
      <c r="B250" s="131"/>
    </row>
    <row r="251" spans="1:2">
      <c r="A251" s="58"/>
      <c r="B251" s="131"/>
    </row>
    <row r="252" spans="1:2">
      <c r="A252" s="58"/>
      <c r="B252" s="131"/>
    </row>
    <row r="253" spans="1:2">
      <c r="A253" s="58"/>
      <c r="B253" s="131"/>
    </row>
    <row r="254" spans="1:2">
      <c r="A254" s="58"/>
      <c r="B254" s="131"/>
    </row>
    <row r="255" spans="1:2">
      <c r="A255" s="58"/>
      <c r="B255" s="131"/>
    </row>
    <row r="256" spans="1:2">
      <c r="A256" s="58"/>
      <c r="B256" s="131"/>
    </row>
    <row r="257" spans="1:2">
      <c r="A257" s="58"/>
      <c r="B257" s="131"/>
    </row>
    <row r="258" spans="1:2">
      <c r="A258" s="58"/>
      <c r="B258" s="131"/>
    </row>
    <row r="259" spans="1:2">
      <c r="A259" s="58"/>
      <c r="B259" s="131"/>
    </row>
    <row r="260" spans="1:2">
      <c r="A260" s="58"/>
      <c r="B260" s="131"/>
    </row>
    <row r="261" spans="1:2">
      <c r="A261" s="58"/>
      <c r="B261" s="131"/>
    </row>
    <row r="262" spans="1:2">
      <c r="A262" s="58"/>
      <c r="B262" s="131"/>
    </row>
    <row r="263" spans="1:2">
      <c r="A263" s="58"/>
      <c r="B263" s="131"/>
    </row>
    <row r="264" spans="1:2">
      <c r="A264" s="58"/>
      <c r="B264" s="131"/>
    </row>
    <row r="265" spans="1:2">
      <c r="A265" s="58"/>
      <c r="B265" s="131"/>
    </row>
    <row r="266" spans="1:2">
      <c r="A266" s="58"/>
      <c r="B266" s="131"/>
    </row>
    <row r="267" spans="1:2">
      <c r="A267" s="58"/>
      <c r="B267" s="131"/>
    </row>
    <row r="268" spans="1:2">
      <c r="A268" s="58"/>
      <c r="B268" s="131"/>
    </row>
    <row r="269" spans="1:2">
      <c r="A269" s="58"/>
      <c r="B269" s="131"/>
    </row>
    <row r="270" spans="1:2">
      <c r="A270" s="58"/>
      <c r="B270" s="131"/>
    </row>
    <row r="271" spans="1:2">
      <c r="A271" s="58"/>
      <c r="B271" s="131"/>
    </row>
    <row r="272" spans="1:2">
      <c r="A272" s="58"/>
      <c r="B272" s="131"/>
    </row>
    <row r="273" spans="1:2">
      <c r="A273" s="58"/>
      <c r="B273" s="131"/>
    </row>
  </sheetData>
  <mergeCells count="39">
    <mergeCell ref="J1:T1"/>
    <mergeCell ref="R5:T5"/>
    <mergeCell ref="R6:T7"/>
    <mergeCell ref="R8:R9"/>
    <mergeCell ref="S8:S9"/>
    <mergeCell ref="T8:T9"/>
    <mergeCell ref="Q8:Q9"/>
    <mergeCell ref="O5:Q5"/>
    <mergeCell ref="J3:N3"/>
    <mergeCell ref="L5:N5"/>
    <mergeCell ref="O6:Q7"/>
    <mergeCell ref="A62:B62"/>
    <mergeCell ref="P8:P9"/>
    <mergeCell ref="C8:C9"/>
    <mergeCell ref="N8:N9"/>
    <mergeCell ref="O8:O9"/>
    <mergeCell ref="F8:F9"/>
    <mergeCell ref="G8:G9"/>
    <mergeCell ref="H8:H9"/>
    <mergeCell ref="I8:I9"/>
    <mergeCell ref="J8:J9"/>
    <mergeCell ref="K8:K9"/>
    <mergeCell ref="D8:D9"/>
    <mergeCell ref="A63:B63"/>
    <mergeCell ref="L8:L9"/>
    <mergeCell ref="M8:M9"/>
    <mergeCell ref="A5:A9"/>
    <mergeCell ref="B5:B9"/>
    <mergeCell ref="C5:E5"/>
    <mergeCell ref="F5:H5"/>
    <mergeCell ref="I5:K5"/>
    <mergeCell ref="C6:E7"/>
    <mergeCell ref="F6:H7"/>
    <mergeCell ref="I6:K7"/>
    <mergeCell ref="L6:N7"/>
    <mergeCell ref="E8:E9"/>
    <mergeCell ref="A10:B10"/>
    <mergeCell ref="A41:B41"/>
    <mergeCell ref="A42:B42"/>
  </mergeCells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5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P273"/>
  <sheetViews>
    <sheetView view="pageBreakPreview" zoomScale="80" zoomScaleNormal="70" zoomScaleSheetLayoutView="80" workbookViewId="0">
      <pane xSplit="2" ySplit="10" topLeftCell="J44" activePane="bottomRight" state="frozen"/>
      <selection pane="topRight" activeCell="C1" sqref="C1"/>
      <selection pane="bottomLeft" activeCell="A10" sqref="A10"/>
      <selection pane="bottomRight" activeCell="J2" sqref="J2"/>
    </sheetView>
  </sheetViews>
  <sheetFormatPr defaultRowHeight="12.75"/>
  <cols>
    <col min="1" max="1" width="11.7109375" style="57" bestFit="1" customWidth="1"/>
    <col min="2" max="2" width="93.140625" style="57" bestFit="1" customWidth="1"/>
    <col min="3" max="3" width="14.42578125" style="57" customWidth="1"/>
    <col min="4" max="4" width="14" style="57" customWidth="1"/>
    <col min="5" max="5" width="15.5703125" style="63" customWidth="1"/>
    <col min="6" max="6" width="14.42578125" style="57" customWidth="1"/>
    <col min="7" max="7" width="14" style="57" customWidth="1"/>
    <col min="8" max="8" width="14" style="63" customWidth="1"/>
    <col min="9" max="9" width="14.42578125" style="57" customWidth="1"/>
    <col min="10" max="10" width="14" style="57" customWidth="1"/>
    <col min="11" max="11" width="14" style="63" customWidth="1"/>
    <col min="12" max="12" width="16.7109375" style="57" customWidth="1"/>
    <col min="13" max="13" width="14" style="57" customWidth="1"/>
    <col min="14" max="14" width="18.28515625" style="63" customWidth="1"/>
    <col min="15" max="253" width="9.140625" style="57"/>
    <col min="254" max="254" width="11.7109375" style="57" bestFit="1" customWidth="1"/>
    <col min="255" max="255" width="93.140625" style="57" bestFit="1" customWidth="1"/>
    <col min="256" max="256" width="14.42578125" style="57" customWidth="1"/>
    <col min="257" max="257" width="14" style="57" customWidth="1"/>
    <col min="258" max="259" width="14.42578125" style="57" customWidth="1"/>
    <col min="260" max="260" width="14" style="57" customWidth="1"/>
    <col min="261" max="261" width="15.5703125" style="57" customWidth="1"/>
    <col min="262" max="262" width="14.42578125" style="57" customWidth="1"/>
    <col min="263" max="264" width="14" style="57" customWidth="1"/>
    <col min="265" max="265" width="14.42578125" style="57" customWidth="1"/>
    <col min="266" max="267" width="14" style="57" customWidth="1"/>
    <col min="268" max="509" width="9.140625" style="57"/>
    <col min="510" max="510" width="11.7109375" style="57" bestFit="1" customWidth="1"/>
    <col min="511" max="511" width="93.140625" style="57" bestFit="1" customWidth="1"/>
    <col min="512" max="512" width="14.42578125" style="57" customWidth="1"/>
    <col min="513" max="513" width="14" style="57" customWidth="1"/>
    <col min="514" max="515" width="14.42578125" style="57" customWidth="1"/>
    <col min="516" max="516" width="14" style="57" customWidth="1"/>
    <col min="517" max="517" width="15.5703125" style="57" customWidth="1"/>
    <col min="518" max="518" width="14.42578125" style="57" customWidth="1"/>
    <col min="519" max="520" width="14" style="57" customWidth="1"/>
    <col min="521" max="521" width="14.42578125" style="57" customWidth="1"/>
    <col min="522" max="523" width="14" style="57" customWidth="1"/>
    <col min="524" max="765" width="9.140625" style="57"/>
    <col min="766" max="766" width="11.7109375" style="57" bestFit="1" customWidth="1"/>
    <col min="767" max="767" width="93.140625" style="57" bestFit="1" customWidth="1"/>
    <col min="768" max="768" width="14.42578125" style="57" customWidth="1"/>
    <col min="769" max="769" width="14" style="57" customWidth="1"/>
    <col min="770" max="771" width="14.42578125" style="57" customWidth="1"/>
    <col min="772" max="772" width="14" style="57" customWidth="1"/>
    <col min="773" max="773" width="15.5703125" style="57" customWidth="1"/>
    <col min="774" max="774" width="14.42578125" style="57" customWidth="1"/>
    <col min="775" max="776" width="14" style="57" customWidth="1"/>
    <col min="777" max="777" width="14.42578125" style="57" customWidth="1"/>
    <col min="778" max="779" width="14" style="57" customWidth="1"/>
    <col min="780" max="1021" width="9.140625" style="57"/>
    <col min="1022" max="1022" width="11.7109375" style="57" bestFit="1" customWidth="1"/>
    <col min="1023" max="1023" width="93.140625" style="57" bestFit="1" customWidth="1"/>
    <col min="1024" max="1024" width="14.42578125" style="57" customWidth="1"/>
    <col min="1025" max="1025" width="14" style="57" customWidth="1"/>
    <col min="1026" max="1027" width="14.42578125" style="57" customWidth="1"/>
    <col min="1028" max="1028" width="14" style="57" customWidth="1"/>
    <col min="1029" max="1029" width="15.5703125" style="57" customWidth="1"/>
    <col min="1030" max="1030" width="14.42578125" style="57" customWidth="1"/>
    <col min="1031" max="1032" width="14" style="57" customWidth="1"/>
    <col min="1033" max="1033" width="14.42578125" style="57" customWidth="1"/>
    <col min="1034" max="1035" width="14" style="57" customWidth="1"/>
    <col min="1036" max="1277" width="9.140625" style="57"/>
    <col min="1278" max="1278" width="11.7109375" style="57" bestFit="1" customWidth="1"/>
    <col min="1279" max="1279" width="93.140625" style="57" bestFit="1" customWidth="1"/>
    <col min="1280" max="1280" width="14.42578125" style="57" customWidth="1"/>
    <col min="1281" max="1281" width="14" style="57" customWidth="1"/>
    <col min="1282" max="1283" width="14.42578125" style="57" customWidth="1"/>
    <col min="1284" max="1284" width="14" style="57" customWidth="1"/>
    <col min="1285" max="1285" width="15.5703125" style="57" customWidth="1"/>
    <col min="1286" max="1286" width="14.42578125" style="57" customWidth="1"/>
    <col min="1287" max="1288" width="14" style="57" customWidth="1"/>
    <col min="1289" max="1289" width="14.42578125" style="57" customWidth="1"/>
    <col min="1290" max="1291" width="14" style="57" customWidth="1"/>
    <col min="1292" max="1533" width="9.140625" style="57"/>
    <col min="1534" max="1534" width="11.7109375" style="57" bestFit="1" customWidth="1"/>
    <col min="1535" max="1535" width="93.140625" style="57" bestFit="1" customWidth="1"/>
    <col min="1536" max="1536" width="14.42578125" style="57" customWidth="1"/>
    <col min="1537" max="1537" width="14" style="57" customWidth="1"/>
    <col min="1538" max="1539" width="14.42578125" style="57" customWidth="1"/>
    <col min="1540" max="1540" width="14" style="57" customWidth="1"/>
    <col min="1541" max="1541" width="15.5703125" style="57" customWidth="1"/>
    <col min="1542" max="1542" width="14.42578125" style="57" customWidth="1"/>
    <col min="1543" max="1544" width="14" style="57" customWidth="1"/>
    <col min="1545" max="1545" width="14.42578125" style="57" customWidth="1"/>
    <col min="1546" max="1547" width="14" style="57" customWidth="1"/>
    <col min="1548" max="1789" width="9.140625" style="57"/>
    <col min="1790" max="1790" width="11.7109375" style="57" bestFit="1" customWidth="1"/>
    <col min="1791" max="1791" width="93.140625" style="57" bestFit="1" customWidth="1"/>
    <col min="1792" max="1792" width="14.42578125" style="57" customWidth="1"/>
    <col min="1793" max="1793" width="14" style="57" customWidth="1"/>
    <col min="1794" max="1795" width="14.42578125" style="57" customWidth="1"/>
    <col min="1796" max="1796" width="14" style="57" customWidth="1"/>
    <col min="1797" max="1797" width="15.5703125" style="57" customWidth="1"/>
    <col min="1798" max="1798" width="14.42578125" style="57" customWidth="1"/>
    <col min="1799" max="1800" width="14" style="57" customWidth="1"/>
    <col min="1801" max="1801" width="14.42578125" style="57" customWidth="1"/>
    <col min="1802" max="1803" width="14" style="57" customWidth="1"/>
    <col min="1804" max="2045" width="9.140625" style="57"/>
    <col min="2046" max="2046" width="11.7109375" style="57" bestFit="1" customWidth="1"/>
    <col min="2047" max="2047" width="93.140625" style="57" bestFit="1" customWidth="1"/>
    <col min="2048" max="2048" width="14.42578125" style="57" customWidth="1"/>
    <col min="2049" max="2049" width="14" style="57" customWidth="1"/>
    <col min="2050" max="2051" width="14.42578125" style="57" customWidth="1"/>
    <col min="2052" max="2052" width="14" style="57" customWidth="1"/>
    <col min="2053" max="2053" width="15.5703125" style="57" customWidth="1"/>
    <col min="2054" max="2054" width="14.42578125" style="57" customWidth="1"/>
    <col min="2055" max="2056" width="14" style="57" customWidth="1"/>
    <col min="2057" max="2057" width="14.42578125" style="57" customWidth="1"/>
    <col min="2058" max="2059" width="14" style="57" customWidth="1"/>
    <col min="2060" max="2301" width="9.140625" style="57"/>
    <col min="2302" max="2302" width="11.7109375" style="57" bestFit="1" customWidth="1"/>
    <col min="2303" max="2303" width="93.140625" style="57" bestFit="1" customWidth="1"/>
    <col min="2304" max="2304" width="14.42578125" style="57" customWidth="1"/>
    <col min="2305" max="2305" width="14" style="57" customWidth="1"/>
    <col min="2306" max="2307" width="14.42578125" style="57" customWidth="1"/>
    <col min="2308" max="2308" width="14" style="57" customWidth="1"/>
    <col min="2309" max="2309" width="15.5703125" style="57" customWidth="1"/>
    <col min="2310" max="2310" width="14.42578125" style="57" customWidth="1"/>
    <col min="2311" max="2312" width="14" style="57" customWidth="1"/>
    <col min="2313" max="2313" width="14.42578125" style="57" customWidth="1"/>
    <col min="2314" max="2315" width="14" style="57" customWidth="1"/>
    <col min="2316" max="2557" width="9.140625" style="57"/>
    <col min="2558" max="2558" width="11.7109375" style="57" bestFit="1" customWidth="1"/>
    <col min="2559" max="2559" width="93.140625" style="57" bestFit="1" customWidth="1"/>
    <col min="2560" max="2560" width="14.42578125" style="57" customWidth="1"/>
    <col min="2561" max="2561" width="14" style="57" customWidth="1"/>
    <col min="2562" max="2563" width="14.42578125" style="57" customWidth="1"/>
    <col min="2564" max="2564" width="14" style="57" customWidth="1"/>
    <col min="2565" max="2565" width="15.5703125" style="57" customWidth="1"/>
    <col min="2566" max="2566" width="14.42578125" style="57" customWidth="1"/>
    <col min="2567" max="2568" width="14" style="57" customWidth="1"/>
    <col min="2569" max="2569" width="14.42578125" style="57" customWidth="1"/>
    <col min="2570" max="2571" width="14" style="57" customWidth="1"/>
    <col min="2572" max="2813" width="9.140625" style="57"/>
    <col min="2814" max="2814" width="11.7109375" style="57" bestFit="1" customWidth="1"/>
    <col min="2815" max="2815" width="93.140625" style="57" bestFit="1" customWidth="1"/>
    <col min="2816" max="2816" width="14.42578125" style="57" customWidth="1"/>
    <col min="2817" max="2817" width="14" style="57" customWidth="1"/>
    <col min="2818" max="2819" width="14.42578125" style="57" customWidth="1"/>
    <col min="2820" max="2820" width="14" style="57" customWidth="1"/>
    <col min="2821" max="2821" width="15.5703125" style="57" customWidth="1"/>
    <col min="2822" max="2822" width="14.42578125" style="57" customWidth="1"/>
    <col min="2823" max="2824" width="14" style="57" customWidth="1"/>
    <col min="2825" max="2825" width="14.42578125" style="57" customWidth="1"/>
    <col min="2826" max="2827" width="14" style="57" customWidth="1"/>
    <col min="2828" max="3069" width="9.140625" style="57"/>
    <col min="3070" max="3070" width="11.7109375" style="57" bestFit="1" customWidth="1"/>
    <col min="3071" max="3071" width="93.140625" style="57" bestFit="1" customWidth="1"/>
    <col min="3072" max="3072" width="14.42578125" style="57" customWidth="1"/>
    <col min="3073" max="3073" width="14" style="57" customWidth="1"/>
    <col min="3074" max="3075" width="14.42578125" style="57" customWidth="1"/>
    <col min="3076" max="3076" width="14" style="57" customWidth="1"/>
    <col min="3077" max="3077" width="15.5703125" style="57" customWidth="1"/>
    <col min="3078" max="3078" width="14.42578125" style="57" customWidth="1"/>
    <col min="3079" max="3080" width="14" style="57" customWidth="1"/>
    <col min="3081" max="3081" width="14.42578125" style="57" customWidth="1"/>
    <col min="3082" max="3083" width="14" style="57" customWidth="1"/>
    <col min="3084" max="3325" width="9.140625" style="57"/>
    <col min="3326" max="3326" width="11.7109375" style="57" bestFit="1" customWidth="1"/>
    <col min="3327" max="3327" width="93.140625" style="57" bestFit="1" customWidth="1"/>
    <col min="3328" max="3328" width="14.42578125" style="57" customWidth="1"/>
    <col min="3329" max="3329" width="14" style="57" customWidth="1"/>
    <col min="3330" max="3331" width="14.42578125" style="57" customWidth="1"/>
    <col min="3332" max="3332" width="14" style="57" customWidth="1"/>
    <col min="3333" max="3333" width="15.5703125" style="57" customWidth="1"/>
    <col min="3334" max="3334" width="14.42578125" style="57" customWidth="1"/>
    <col min="3335" max="3336" width="14" style="57" customWidth="1"/>
    <col min="3337" max="3337" width="14.42578125" style="57" customWidth="1"/>
    <col min="3338" max="3339" width="14" style="57" customWidth="1"/>
    <col min="3340" max="3581" width="9.140625" style="57"/>
    <col min="3582" max="3582" width="11.7109375" style="57" bestFit="1" customWidth="1"/>
    <col min="3583" max="3583" width="93.140625" style="57" bestFit="1" customWidth="1"/>
    <col min="3584" max="3584" width="14.42578125" style="57" customWidth="1"/>
    <col min="3585" max="3585" width="14" style="57" customWidth="1"/>
    <col min="3586" max="3587" width="14.42578125" style="57" customWidth="1"/>
    <col min="3588" max="3588" width="14" style="57" customWidth="1"/>
    <col min="3589" max="3589" width="15.5703125" style="57" customWidth="1"/>
    <col min="3590" max="3590" width="14.42578125" style="57" customWidth="1"/>
    <col min="3591" max="3592" width="14" style="57" customWidth="1"/>
    <col min="3593" max="3593" width="14.42578125" style="57" customWidth="1"/>
    <col min="3594" max="3595" width="14" style="57" customWidth="1"/>
    <col min="3596" max="3837" width="9.140625" style="57"/>
    <col min="3838" max="3838" width="11.7109375" style="57" bestFit="1" customWidth="1"/>
    <col min="3839" max="3839" width="93.140625" style="57" bestFit="1" customWidth="1"/>
    <col min="3840" max="3840" width="14.42578125" style="57" customWidth="1"/>
    <col min="3841" max="3841" width="14" style="57" customWidth="1"/>
    <col min="3842" max="3843" width="14.42578125" style="57" customWidth="1"/>
    <col min="3844" max="3844" width="14" style="57" customWidth="1"/>
    <col min="3845" max="3845" width="15.5703125" style="57" customWidth="1"/>
    <col min="3846" max="3846" width="14.42578125" style="57" customWidth="1"/>
    <col min="3847" max="3848" width="14" style="57" customWidth="1"/>
    <col min="3849" max="3849" width="14.42578125" style="57" customWidth="1"/>
    <col min="3850" max="3851" width="14" style="57" customWidth="1"/>
    <col min="3852" max="4093" width="9.140625" style="57"/>
    <col min="4094" max="4094" width="11.7109375" style="57" bestFit="1" customWidth="1"/>
    <col min="4095" max="4095" width="93.140625" style="57" bestFit="1" customWidth="1"/>
    <col min="4096" max="4096" width="14.42578125" style="57" customWidth="1"/>
    <col min="4097" max="4097" width="14" style="57" customWidth="1"/>
    <col min="4098" max="4099" width="14.42578125" style="57" customWidth="1"/>
    <col min="4100" max="4100" width="14" style="57" customWidth="1"/>
    <col min="4101" max="4101" width="15.5703125" style="57" customWidth="1"/>
    <col min="4102" max="4102" width="14.42578125" style="57" customWidth="1"/>
    <col min="4103" max="4104" width="14" style="57" customWidth="1"/>
    <col min="4105" max="4105" width="14.42578125" style="57" customWidth="1"/>
    <col min="4106" max="4107" width="14" style="57" customWidth="1"/>
    <col min="4108" max="4349" width="9.140625" style="57"/>
    <col min="4350" max="4350" width="11.7109375" style="57" bestFit="1" customWidth="1"/>
    <col min="4351" max="4351" width="93.140625" style="57" bestFit="1" customWidth="1"/>
    <col min="4352" max="4352" width="14.42578125" style="57" customWidth="1"/>
    <col min="4353" max="4353" width="14" style="57" customWidth="1"/>
    <col min="4354" max="4355" width="14.42578125" style="57" customWidth="1"/>
    <col min="4356" max="4356" width="14" style="57" customWidth="1"/>
    <col min="4357" max="4357" width="15.5703125" style="57" customWidth="1"/>
    <col min="4358" max="4358" width="14.42578125" style="57" customWidth="1"/>
    <col min="4359" max="4360" width="14" style="57" customWidth="1"/>
    <col min="4361" max="4361" width="14.42578125" style="57" customWidth="1"/>
    <col min="4362" max="4363" width="14" style="57" customWidth="1"/>
    <col min="4364" max="4605" width="9.140625" style="57"/>
    <col min="4606" max="4606" width="11.7109375" style="57" bestFit="1" customWidth="1"/>
    <col min="4607" max="4607" width="93.140625" style="57" bestFit="1" customWidth="1"/>
    <col min="4608" max="4608" width="14.42578125" style="57" customWidth="1"/>
    <col min="4609" max="4609" width="14" style="57" customWidth="1"/>
    <col min="4610" max="4611" width="14.42578125" style="57" customWidth="1"/>
    <col min="4612" max="4612" width="14" style="57" customWidth="1"/>
    <col min="4613" max="4613" width="15.5703125" style="57" customWidth="1"/>
    <col min="4614" max="4614" width="14.42578125" style="57" customWidth="1"/>
    <col min="4615" max="4616" width="14" style="57" customWidth="1"/>
    <col min="4617" max="4617" width="14.42578125" style="57" customWidth="1"/>
    <col min="4618" max="4619" width="14" style="57" customWidth="1"/>
    <col min="4620" max="4861" width="9.140625" style="57"/>
    <col min="4862" max="4862" width="11.7109375" style="57" bestFit="1" customWidth="1"/>
    <col min="4863" max="4863" width="93.140625" style="57" bestFit="1" customWidth="1"/>
    <col min="4864" max="4864" width="14.42578125" style="57" customWidth="1"/>
    <col min="4865" max="4865" width="14" style="57" customWidth="1"/>
    <col min="4866" max="4867" width="14.42578125" style="57" customWidth="1"/>
    <col min="4868" max="4868" width="14" style="57" customWidth="1"/>
    <col min="4869" max="4869" width="15.5703125" style="57" customWidth="1"/>
    <col min="4870" max="4870" width="14.42578125" style="57" customWidth="1"/>
    <col min="4871" max="4872" width="14" style="57" customWidth="1"/>
    <col min="4873" max="4873" width="14.42578125" style="57" customWidth="1"/>
    <col min="4874" max="4875" width="14" style="57" customWidth="1"/>
    <col min="4876" max="5117" width="9.140625" style="57"/>
    <col min="5118" max="5118" width="11.7109375" style="57" bestFit="1" customWidth="1"/>
    <col min="5119" max="5119" width="93.140625" style="57" bestFit="1" customWidth="1"/>
    <col min="5120" max="5120" width="14.42578125" style="57" customWidth="1"/>
    <col min="5121" max="5121" width="14" style="57" customWidth="1"/>
    <col min="5122" max="5123" width="14.42578125" style="57" customWidth="1"/>
    <col min="5124" max="5124" width="14" style="57" customWidth="1"/>
    <col min="5125" max="5125" width="15.5703125" style="57" customWidth="1"/>
    <col min="5126" max="5126" width="14.42578125" style="57" customWidth="1"/>
    <col min="5127" max="5128" width="14" style="57" customWidth="1"/>
    <col min="5129" max="5129" width="14.42578125" style="57" customWidth="1"/>
    <col min="5130" max="5131" width="14" style="57" customWidth="1"/>
    <col min="5132" max="5373" width="9.140625" style="57"/>
    <col min="5374" max="5374" width="11.7109375" style="57" bestFit="1" customWidth="1"/>
    <col min="5375" max="5375" width="93.140625" style="57" bestFit="1" customWidth="1"/>
    <col min="5376" max="5376" width="14.42578125" style="57" customWidth="1"/>
    <col min="5377" max="5377" width="14" style="57" customWidth="1"/>
    <col min="5378" max="5379" width="14.42578125" style="57" customWidth="1"/>
    <col min="5380" max="5380" width="14" style="57" customWidth="1"/>
    <col min="5381" max="5381" width="15.5703125" style="57" customWidth="1"/>
    <col min="5382" max="5382" width="14.42578125" style="57" customWidth="1"/>
    <col min="5383" max="5384" width="14" style="57" customWidth="1"/>
    <col min="5385" max="5385" width="14.42578125" style="57" customWidth="1"/>
    <col min="5386" max="5387" width="14" style="57" customWidth="1"/>
    <col min="5388" max="5629" width="9.140625" style="57"/>
    <col min="5630" max="5630" width="11.7109375" style="57" bestFit="1" customWidth="1"/>
    <col min="5631" max="5631" width="93.140625" style="57" bestFit="1" customWidth="1"/>
    <col min="5632" max="5632" width="14.42578125" style="57" customWidth="1"/>
    <col min="5633" max="5633" width="14" style="57" customWidth="1"/>
    <col min="5634" max="5635" width="14.42578125" style="57" customWidth="1"/>
    <col min="5636" max="5636" width="14" style="57" customWidth="1"/>
    <col min="5637" max="5637" width="15.5703125" style="57" customWidth="1"/>
    <col min="5638" max="5638" width="14.42578125" style="57" customWidth="1"/>
    <col min="5639" max="5640" width="14" style="57" customWidth="1"/>
    <col min="5641" max="5641" width="14.42578125" style="57" customWidth="1"/>
    <col min="5642" max="5643" width="14" style="57" customWidth="1"/>
    <col min="5644" max="5885" width="9.140625" style="57"/>
    <col min="5886" max="5886" width="11.7109375" style="57" bestFit="1" customWidth="1"/>
    <col min="5887" max="5887" width="93.140625" style="57" bestFit="1" customWidth="1"/>
    <col min="5888" max="5888" width="14.42578125" style="57" customWidth="1"/>
    <col min="5889" max="5889" width="14" style="57" customWidth="1"/>
    <col min="5890" max="5891" width="14.42578125" style="57" customWidth="1"/>
    <col min="5892" max="5892" width="14" style="57" customWidth="1"/>
    <col min="5893" max="5893" width="15.5703125" style="57" customWidth="1"/>
    <col min="5894" max="5894" width="14.42578125" style="57" customWidth="1"/>
    <col min="5895" max="5896" width="14" style="57" customWidth="1"/>
    <col min="5897" max="5897" width="14.42578125" style="57" customWidth="1"/>
    <col min="5898" max="5899" width="14" style="57" customWidth="1"/>
    <col min="5900" max="6141" width="9.140625" style="57"/>
    <col min="6142" max="6142" width="11.7109375" style="57" bestFit="1" customWidth="1"/>
    <col min="6143" max="6143" width="93.140625" style="57" bestFit="1" customWidth="1"/>
    <col min="6144" max="6144" width="14.42578125" style="57" customWidth="1"/>
    <col min="6145" max="6145" width="14" style="57" customWidth="1"/>
    <col min="6146" max="6147" width="14.42578125" style="57" customWidth="1"/>
    <col min="6148" max="6148" width="14" style="57" customWidth="1"/>
    <col min="6149" max="6149" width="15.5703125" style="57" customWidth="1"/>
    <col min="6150" max="6150" width="14.42578125" style="57" customWidth="1"/>
    <col min="6151" max="6152" width="14" style="57" customWidth="1"/>
    <col min="6153" max="6153" width="14.42578125" style="57" customWidth="1"/>
    <col min="6154" max="6155" width="14" style="57" customWidth="1"/>
    <col min="6156" max="6397" width="9.140625" style="57"/>
    <col min="6398" max="6398" width="11.7109375" style="57" bestFit="1" customWidth="1"/>
    <col min="6399" max="6399" width="93.140625" style="57" bestFit="1" customWidth="1"/>
    <col min="6400" max="6400" width="14.42578125" style="57" customWidth="1"/>
    <col min="6401" max="6401" width="14" style="57" customWidth="1"/>
    <col min="6402" max="6403" width="14.42578125" style="57" customWidth="1"/>
    <col min="6404" max="6404" width="14" style="57" customWidth="1"/>
    <col min="6405" max="6405" width="15.5703125" style="57" customWidth="1"/>
    <col min="6406" max="6406" width="14.42578125" style="57" customWidth="1"/>
    <col min="6407" max="6408" width="14" style="57" customWidth="1"/>
    <col min="6409" max="6409" width="14.42578125" style="57" customWidth="1"/>
    <col min="6410" max="6411" width="14" style="57" customWidth="1"/>
    <col min="6412" max="6653" width="9.140625" style="57"/>
    <col min="6654" max="6654" width="11.7109375" style="57" bestFit="1" customWidth="1"/>
    <col min="6655" max="6655" width="93.140625" style="57" bestFit="1" customWidth="1"/>
    <col min="6656" max="6656" width="14.42578125" style="57" customWidth="1"/>
    <col min="6657" max="6657" width="14" style="57" customWidth="1"/>
    <col min="6658" max="6659" width="14.42578125" style="57" customWidth="1"/>
    <col min="6660" max="6660" width="14" style="57" customWidth="1"/>
    <col min="6661" max="6661" width="15.5703125" style="57" customWidth="1"/>
    <col min="6662" max="6662" width="14.42578125" style="57" customWidth="1"/>
    <col min="6663" max="6664" width="14" style="57" customWidth="1"/>
    <col min="6665" max="6665" width="14.42578125" style="57" customWidth="1"/>
    <col min="6666" max="6667" width="14" style="57" customWidth="1"/>
    <col min="6668" max="6909" width="9.140625" style="57"/>
    <col min="6910" max="6910" width="11.7109375" style="57" bestFit="1" customWidth="1"/>
    <col min="6911" max="6911" width="93.140625" style="57" bestFit="1" customWidth="1"/>
    <col min="6912" max="6912" width="14.42578125" style="57" customWidth="1"/>
    <col min="6913" max="6913" width="14" style="57" customWidth="1"/>
    <col min="6914" max="6915" width="14.42578125" style="57" customWidth="1"/>
    <col min="6916" max="6916" width="14" style="57" customWidth="1"/>
    <col min="6917" max="6917" width="15.5703125" style="57" customWidth="1"/>
    <col min="6918" max="6918" width="14.42578125" style="57" customWidth="1"/>
    <col min="6919" max="6920" width="14" style="57" customWidth="1"/>
    <col min="6921" max="6921" width="14.42578125" style="57" customWidth="1"/>
    <col min="6922" max="6923" width="14" style="57" customWidth="1"/>
    <col min="6924" max="7165" width="9.140625" style="57"/>
    <col min="7166" max="7166" width="11.7109375" style="57" bestFit="1" customWidth="1"/>
    <col min="7167" max="7167" width="93.140625" style="57" bestFit="1" customWidth="1"/>
    <col min="7168" max="7168" width="14.42578125" style="57" customWidth="1"/>
    <col min="7169" max="7169" width="14" style="57" customWidth="1"/>
    <col min="7170" max="7171" width="14.42578125" style="57" customWidth="1"/>
    <col min="7172" max="7172" width="14" style="57" customWidth="1"/>
    <col min="7173" max="7173" width="15.5703125" style="57" customWidth="1"/>
    <col min="7174" max="7174" width="14.42578125" style="57" customWidth="1"/>
    <col min="7175" max="7176" width="14" style="57" customWidth="1"/>
    <col min="7177" max="7177" width="14.42578125" style="57" customWidth="1"/>
    <col min="7178" max="7179" width="14" style="57" customWidth="1"/>
    <col min="7180" max="7421" width="9.140625" style="57"/>
    <col min="7422" max="7422" width="11.7109375" style="57" bestFit="1" customWidth="1"/>
    <col min="7423" max="7423" width="93.140625" style="57" bestFit="1" customWidth="1"/>
    <col min="7424" max="7424" width="14.42578125" style="57" customWidth="1"/>
    <col min="7425" max="7425" width="14" style="57" customWidth="1"/>
    <col min="7426" max="7427" width="14.42578125" style="57" customWidth="1"/>
    <col min="7428" max="7428" width="14" style="57" customWidth="1"/>
    <col min="7429" max="7429" width="15.5703125" style="57" customWidth="1"/>
    <col min="7430" max="7430" width="14.42578125" style="57" customWidth="1"/>
    <col min="7431" max="7432" width="14" style="57" customWidth="1"/>
    <col min="7433" max="7433" width="14.42578125" style="57" customWidth="1"/>
    <col min="7434" max="7435" width="14" style="57" customWidth="1"/>
    <col min="7436" max="7677" width="9.140625" style="57"/>
    <col min="7678" max="7678" width="11.7109375" style="57" bestFit="1" customWidth="1"/>
    <col min="7679" max="7679" width="93.140625" style="57" bestFit="1" customWidth="1"/>
    <col min="7680" max="7680" width="14.42578125" style="57" customWidth="1"/>
    <col min="7681" max="7681" width="14" style="57" customWidth="1"/>
    <col min="7682" max="7683" width="14.42578125" style="57" customWidth="1"/>
    <col min="7684" max="7684" width="14" style="57" customWidth="1"/>
    <col min="7685" max="7685" width="15.5703125" style="57" customWidth="1"/>
    <col min="7686" max="7686" width="14.42578125" style="57" customWidth="1"/>
    <col min="7687" max="7688" width="14" style="57" customWidth="1"/>
    <col min="7689" max="7689" width="14.42578125" style="57" customWidth="1"/>
    <col min="7690" max="7691" width="14" style="57" customWidth="1"/>
    <col min="7692" max="7933" width="9.140625" style="57"/>
    <col min="7934" max="7934" width="11.7109375" style="57" bestFit="1" customWidth="1"/>
    <col min="7935" max="7935" width="93.140625" style="57" bestFit="1" customWidth="1"/>
    <col min="7936" max="7936" width="14.42578125" style="57" customWidth="1"/>
    <col min="7937" max="7937" width="14" style="57" customWidth="1"/>
    <col min="7938" max="7939" width="14.42578125" style="57" customWidth="1"/>
    <col min="7940" max="7940" width="14" style="57" customWidth="1"/>
    <col min="7941" max="7941" width="15.5703125" style="57" customWidth="1"/>
    <col min="7942" max="7942" width="14.42578125" style="57" customWidth="1"/>
    <col min="7943" max="7944" width="14" style="57" customWidth="1"/>
    <col min="7945" max="7945" width="14.42578125" style="57" customWidth="1"/>
    <col min="7946" max="7947" width="14" style="57" customWidth="1"/>
    <col min="7948" max="8189" width="9.140625" style="57"/>
    <col min="8190" max="8190" width="11.7109375" style="57" bestFit="1" customWidth="1"/>
    <col min="8191" max="8191" width="93.140625" style="57" bestFit="1" customWidth="1"/>
    <col min="8192" max="8192" width="14.42578125" style="57" customWidth="1"/>
    <col min="8193" max="8193" width="14" style="57" customWidth="1"/>
    <col min="8194" max="8195" width="14.42578125" style="57" customWidth="1"/>
    <col min="8196" max="8196" width="14" style="57" customWidth="1"/>
    <col min="8197" max="8197" width="15.5703125" style="57" customWidth="1"/>
    <col min="8198" max="8198" width="14.42578125" style="57" customWidth="1"/>
    <col min="8199" max="8200" width="14" style="57" customWidth="1"/>
    <col min="8201" max="8201" width="14.42578125" style="57" customWidth="1"/>
    <col min="8202" max="8203" width="14" style="57" customWidth="1"/>
    <col min="8204" max="8445" width="9.140625" style="57"/>
    <col min="8446" max="8446" width="11.7109375" style="57" bestFit="1" customWidth="1"/>
    <col min="8447" max="8447" width="93.140625" style="57" bestFit="1" customWidth="1"/>
    <col min="8448" max="8448" width="14.42578125" style="57" customWidth="1"/>
    <col min="8449" max="8449" width="14" style="57" customWidth="1"/>
    <col min="8450" max="8451" width="14.42578125" style="57" customWidth="1"/>
    <col min="8452" max="8452" width="14" style="57" customWidth="1"/>
    <col min="8453" max="8453" width="15.5703125" style="57" customWidth="1"/>
    <col min="8454" max="8454" width="14.42578125" style="57" customWidth="1"/>
    <col min="8455" max="8456" width="14" style="57" customWidth="1"/>
    <col min="8457" max="8457" width="14.42578125" style="57" customWidth="1"/>
    <col min="8458" max="8459" width="14" style="57" customWidth="1"/>
    <col min="8460" max="8701" width="9.140625" style="57"/>
    <col min="8702" max="8702" width="11.7109375" style="57" bestFit="1" customWidth="1"/>
    <col min="8703" max="8703" width="93.140625" style="57" bestFit="1" customWidth="1"/>
    <col min="8704" max="8704" width="14.42578125" style="57" customWidth="1"/>
    <col min="8705" max="8705" width="14" style="57" customWidth="1"/>
    <col min="8706" max="8707" width="14.42578125" style="57" customWidth="1"/>
    <col min="8708" max="8708" width="14" style="57" customWidth="1"/>
    <col min="8709" max="8709" width="15.5703125" style="57" customWidth="1"/>
    <col min="8710" max="8710" width="14.42578125" style="57" customWidth="1"/>
    <col min="8711" max="8712" width="14" style="57" customWidth="1"/>
    <col min="8713" max="8713" width="14.42578125" style="57" customWidth="1"/>
    <col min="8714" max="8715" width="14" style="57" customWidth="1"/>
    <col min="8716" max="8957" width="9.140625" style="57"/>
    <col min="8958" max="8958" width="11.7109375" style="57" bestFit="1" customWidth="1"/>
    <col min="8959" max="8959" width="93.140625" style="57" bestFit="1" customWidth="1"/>
    <col min="8960" max="8960" width="14.42578125" style="57" customWidth="1"/>
    <col min="8961" max="8961" width="14" style="57" customWidth="1"/>
    <col min="8962" max="8963" width="14.42578125" style="57" customWidth="1"/>
    <col min="8964" max="8964" width="14" style="57" customWidth="1"/>
    <col min="8965" max="8965" width="15.5703125" style="57" customWidth="1"/>
    <col min="8966" max="8966" width="14.42578125" style="57" customWidth="1"/>
    <col min="8967" max="8968" width="14" style="57" customWidth="1"/>
    <col min="8969" max="8969" width="14.42578125" style="57" customWidth="1"/>
    <col min="8970" max="8971" width="14" style="57" customWidth="1"/>
    <col min="8972" max="9213" width="9.140625" style="57"/>
    <col min="9214" max="9214" width="11.7109375" style="57" bestFit="1" customWidth="1"/>
    <col min="9215" max="9215" width="93.140625" style="57" bestFit="1" customWidth="1"/>
    <col min="9216" max="9216" width="14.42578125" style="57" customWidth="1"/>
    <col min="9217" max="9217" width="14" style="57" customWidth="1"/>
    <col min="9218" max="9219" width="14.42578125" style="57" customWidth="1"/>
    <col min="9220" max="9220" width="14" style="57" customWidth="1"/>
    <col min="9221" max="9221" width="15.5703125" style="57" customWidth="1"/>
    <col min="9222" max="9222" width="14.42578125" style="57" customWidth="1"/>
    <col min="9223" max="9224" width="14" style="57" customWidth="1"/>
    <col min="9225" max="9225" width="14.42578125" style="57" customWidth="1"/>
    <col min="9226" max="9227" width="14" style="57" customWidth="1"/>
    <col min="9228" max="9469" width="9.140625" style="57"/>
    <col min="9470" max="9470" width="11.7109375" style="57" bestFit="1" customWidth="1"/>
    <col min="9471" max="9471" width="93.140625" style="57" bestFit="1" customWidth="1"/>
    <col min="9472" max="9472" width="14.42578125" style="57" customWidth="1"/>
    <col min="9473" max="9473" width="14" style="57" customWidth="1"/>
    <col min="9474" max="9475" width="14.42578125" style="57" customWidth="1"/>
    <col min="9476" max="9476" width="14" style="57" customWidth="1"/>
    <col min="9477" max="9477" width="15.5703125" style="57" customWidth="1"/>
    <col min="9478" max="9478" width="14.42578125" style="57" customWidth="1"/>
    <col min="9479" max="9480" width="14" style="57" customWidth="1"/>
    <col min="9481" max="9481" width="14.42578125" style="57" customWidth="1"/>
    <col min="9482" max="9483" width="14" style="57" customWidth="1"/>
    <col min="9484" max="9725" width="9.140625" style="57"/>
    <col min="9726" max="9726" width="11.7109375" style="57" bestFit="1" customWidth="1"/>
    <col min="9727" max="9727" width="93.140625" style="57" bestFit="1" customWidth="1"/>
    <col min="9728" max="9728" width="14.42578125" style="57" customWidth="1"/>
    <col min="9729" max="9729" width="14" style="57" customWidth="1"/>
    <col min="9730" max="9731" width="14.42578125" style="57" customWidth="1"/>
    <col min="9732" max="9732" width="14" style="57" customWidth="1"/>
    <col min="9733" max="9733" width="15.5703125" style="57" customWidth="1"/>
    <col min="9734" max="9734" width="14.42578125" style="57" customWidth="1"/>
    <col min="9735" max="9736" width="14" style="57" customWidth="1"/>
    <col min="9737" max="9737" width="14.42578125" style="57" customWidth="1"/>
    <col min="9738" max="9739" width="14" style="57" customWidth="1"/>
    <col min="9740" max="9981" width="9.140625" style="57"/>
    <col min="9982" max="9982" width="11.7109375" style="57" bestFit="1" customWidth="1"/>
    <col min="9983" max="9983" width="93.140625" style="57" bestFit="1" customWidth="1"/>
    <col min="9984" max="9984" width="14.42578125" style="57" customWidth="1"/>
    <col min="9985" max="9985" width="14" style="57" customWidth="1"/>
    <col min="9986" max="9987" width="14.42578125" style="57" customWidth="1"/>
    <col min="9988" max="9988" width="14" style="57" customWidth="1"/>
    <col min="9989" max="9989" width="15.5703125" style="57" customWidth="1"/>
    <col min="9990" max="9990" width="14.42578125" style="57" customWidth="1"/>
    <col min="9991" max="9992" width="14" style="57" customWidth="1"/>
    <col min="9993" max="9993" width="14.42578125" style="57" customWidth="1"/>
    <col min="9994" max="9995" width="14" style="57" customWidth="1"/>
    <col min="9996" max="10237" width="9.140625" style="57"/>
    <col min="10238" max="10238" width="11.7109375" style="57" bestFit="1" customWidth="1"/>
    <col min="10239" max="10239" width="93.140625" style="57" bestFit="1" customWidth="1"/>
    <col min="10240" max="10240" width="14.42578125" style="57" customWidth="1"/>
    <col min="10241" max="10241" width="14" style="57" customWidth="1"/>
    <col min="10242" max="10243" width="14.42578125" style="57" customWidth="1"/>
    <col min="10244" max="10244" width="14" style="57" customWidth="1"/>
    <col min="10245" max="10245" width="15.5703125" style="57" customWidth="1"/>
    <col min="10246" max="10246" width="14.42578125" style="57" customWidth="1"/>
    <col min="10247" max="10248" width="14" style="57" customWidth="1"/>
    <col min="10249" max="10249" width="14.42578125" style="57" customWidth="1"/>
    <col min="10250" max="10251" width="14" style="57" customWidth="1"/>
    <col min="10252" max="10493" width="9.140625" style="57"/>
    <col min="10494" max="10494" width="11.7109375" style="57" bestFit="1" customWidth="1"/>
    <col min="10495" max="10495" width="93.140625" style="57" bestFit="1" customWidth="1"/>
    <col min="10496" max="10496" width="14.42578125" style="57" customWidth="1"/>
    <col min="10497" max="10497" width="14" style="57" customWidth="1"/>
    <col min="10498" max="10499" width="14.42578125" style="57" customWidth="1"/>
    <col min="10500" max="10500" width="14" style="57" customWidth="1"/>
    <col min="10501" max="10501" width="15.5703125" style="57" customWidth="1"/>
    <col min="10502" max="10502" width="14.42578125" style="57" customWidth="1"/>
    <col min="10503" max="10504" width="14" style="57" customWidth="1"/>
    <col min="10505" max="10505" width="14.42578125" style="57" customWidth="1"/>
    <col min="10506" max="10507" width="14" style="57" customWidth="1"/>
    <col min="10508" max="10749" width="9.140625" style="57"/>
    <col min="10750" max="10750" width="11.7109375" style="57" bestFit="1" customWidth="1"/>
    <col min="10751" max="10751" width="93.140625" style="57" bestFit="1" customWidth="1"/>
    <col min="10752" max="10752" width="14.42578125" style="57" customWidth="1"/>
    <col min="10753" max="10753" width="14" style="57" customWidth="1"/>
    <col min="10754" max="10755" width="14.42578125" style="57" customWidth="1"/>
    <col min="10756" max="10756" width="14" style="57" customWidth="1"/>
    <col min="10757" max="10757" width="15.5703125" style="57" customWidth="1"/>
    <col min="10758" max="10758" width="14.42578125" style="57" customWidth="1"/>
    <col min="10759" max="10760" width="14" style="57" customWidth="1"/>
    <col min="10761" max="10761" width="14.42578125" style="57" customWidth="1"/>
    <col min="10762" max="10763" width="14" style="57" customWidth="1"/>
    <col min="10764" max="11005" width="9.140625" style="57"/>
    <col min="11006" max="11006" width="11.7109375" style="57" bestFit="1" customWidth="1"/>
    <col min="11007" max="11007" width="93.140625" style="57" bestFit="1" customWidth="1"/>
    <col min="11008" max="11008" width="14.42578125" style="57" customWidth="1"/>
    <col min="11009" max="11009" width="14" style="57" customWidth="1"/>
    <col min="11010" max="11011" width="14.42578125" style="57" customWidth="1"/>
    <col min="11012" max="11012" width="14" style="57" customWidth="1"/>
    <col min="11013" max="11013" width="15.5703125" style="57" customWidth="1"/>
    <col min="11014" max="11014" width="14.42578125" style="57" customWidth="1"/>
    <col min="11015" max="11016" width="14" style="57" customWidth="1"/>
    <col min="11017" max="11017" width="14.42578125" style="57" customWidth="1"/>
    <col min="11018" max="11019" width="14" style="57" customWidth="1"/>
    <col min="11020" max="11261" width="9.140625" style="57"/>
    <col min="11262" max="11262" width="11.7109375" style="57" bestFit="1" customWidth="1"/>
    <col min="11263" max="11263" width="93.140625" style="57" bestFit="1" customWidth="1"/>
    <col min="11264" max="11264" width="14.42578125" style="57" customWidth="1"/>
    <col min="11265" max="11265" width="14" style="57" customWidth="1"/>
    <col min="11266" max="11267" width="14.42578125" style="57" customWidth="1"/>
    <col min="11268" max="11268" width="14" style="57" customWidth="1"/>
    <col min="11269" max="11269" width="15.5703125" style="57" customWidth="1"/>
    <col min="11270" max="11270" width="14.42578125" style="57" customWidth="1"/>
    <col min="11271" max="11272" width="14" style="57" customWidth="1"/>
    <col min="11273" max="11273" width="14.42578125" style="57" customWidth="1"/>
    <col min="11274" max="11275" width="14" style="57" customWidth="1"/>
    <col min="11276" max="11517" width="9.140625" style="57"/>
    <col min="11518" max="11518" width="11.7109375" style="57" bestFit="1" customWidth="1"/>
    <col min="11519" max="11519" width="93.140625" style="57" bestFit="1" customWidth="1"/>
    <col min="11520" max="11520" width="14.42578125" style="57" customWidth="1"/>
    <col min="11521" max="11521" width="14" style="57" customWidth="1"/>
    <col min="11522" max="11523" width="14.42578125" style="57" customWidth="1"/>
    <col min="11524" max="11524" width="14" style="57" customWidth="1"/>
    <col min="11525" max="11525" width="15.5703125" style="57" customWidth="1"/>
    <col min="11526" max="11526" width="14.42578125" style="57" customWidth="1"/>
    <col min="11527" max="11528" width="14" style="57" customWidth="1"/>
    <col min="11529" max="11529" width="14.42578125" style="57" customWidth="1"/>
    <col min="11530" max="11531" width="14" style="57" customWidth="1"/>
    <col min="11532" max="11773" width="9.140625" style="57"/>
    <col min="11774" max="11774" width="11.7109375" style="57" bestFit="1" customWidth="1"/>
    <col min="11775" max="11775" width="93.140625" style="57" bestFit="1" customWidth="1"/>
    <col min="11776" max="11776" width="14.42578125" style="57" customWidth="1"/>
    <col min="11777" max="11777" width="14" style="57" customWidth="1"/>
    <col min="11778" max="11779" width="14.42578125" style="57" customWidth="1"/>
    <col min="11780" max="11780" width="14" style="57" customWidth="1"/>
    <col min="11781" max="11781" width="15.5703125" style="57" customWidth="1"/>
    <col min="11782" max="11782" width="14.42578125" style="57" customWidth="1"/>
    <col min="11783" max="11784" width="14" style="57" customWidth="1"/>
    <col min="11785" max="11785" width="14.42578125" style="57" customWidth="1"/>
    <col min="11786" max="11787" width="14" style="57" customWidth="1"/>
    <col min="11788" max="12029" width="9.140625" style="57"/>
    <col min="12030" max="12030" width="11.7109375" style="57" bestFit="1" customWidth="1"/>
    <col min="12031" max="12031" width="93.140625" style="57" bestFit="1" customWidth="1"/>
    <col min="12032" max="12032" width="14.42578125" style="57" customWidth="1"/>
    <col min="12033" max="12033" width="14" style="57" customWidth="1"/>
    <col min="12034" max="12035" width="14.42578125" style="57" customWidth="1"/>
    <col min="12036" max="12036" width="14" style="57" customWidth="1"/>
    <col min="12037" max="12037" width="15.5703125" style="57" customWidth="1"/>
    <col min="12038" max="12038" width="14.42578125" style="57" customWidth="1"/>
    <col min="12039" max="12040" width="14" style="57" customWidth="1"/>
    <col min="12041" max="12041" width="14.42578125" style="57" customWidth="1"/>
    <col min="12042" max="12043" width="14" style="57" customWidth="1"/>
    <col min="12044" max="12285" width="9.140625" style="57"/>
    <col min="12286" max="12286" width="11.7109375" style="57" bestFit="1" customWidth="1"/>
    <col min="12287" max="12287" width="93.140625" style="57" bestFit="1" customWidth="1"/>
    <col min="12288" max="12288" width="14.42578125" style="57" customWidth="1"/>
    <col min="12289" max="12289" width="14" style="57" customWidth="1"/>
    <col min="12290" max="12291" width="14.42578125" style="57" customWidth="1"/>
    <col min="12292" max="12292" width="14" style="57" customWidth="1"/>
    <col min="12293" max="12293" width="15.5703125" style="57" customWidth="1"/>
    <col min="12294" max="12294" width="14.42578125" style="57" customWidth="1"/>
    <col min="12295" max="12296" width="14" style="57" customWidth="1"/>
    <col min="12297" max="12297" width="14.42578125" style="57" customWidth="1"/>
    <col min="12298" max="12299" width="14" style="57" customWidth="1"/>
    <col min="12300" max="12541" width="9.140625" style="57"/>
    <col min="12542" max="12542" width="11.7109375" style="57" bestFit="1" customWidth="1"/>
    <col min="12543" max="12543" width="93.140625" style="57" bestFit="1" customWidth="1"/>
    <col min="12544" max="12544" width="14.42578125" style="57" customWidth="1"/>
    <col min="12545" max="12545" width="14" style="57" customWidth="1"/>
    <col min="12546" max="12547" width="14.42578125" style="57" customWidth="1"/>
    <col min="12548" max="12548" width="14" style="57" customWidth="1"/>
    <col min="12549" max="12549" width="15.5703125" style="57" customWidth="1"/>
    <col min="12550" max="12550" width="14.42578125" style="57" customWidth="1"/>
    <col min="12551" max="12552" width="14" style="57" customWidth="1"/>
    <col min="12553" max="12553" width="14.42578125" style="57" customWidth="1"/>
    <col min="12554" max="12555" width="14" style="57" customWidth="1"/>
    <col min="12556" max="12797" width="9.140625" style="57"/>
    <col min="12798" max="12798" width="11.7109375" style="57" bestFit="1" customWidth="1"/>
    <col min="12799" max="12799" width="93.140625" style="57" bestFit="1" customWidth="1"/>
    <col min="12800" max="12800" width="14.42578125" style="57" customWidth="1"/>
    <col min="12801" max="12801" width="14" style="57" customWidth="1"/>
    <col min="12802" max="12803" width="14.42578125" style="57" customWidth="1"/>
    <col min="12804" max="12804" width="14" style="57" customWidth="1"/>
    <col min="12805" max="12805" width="15.5703125" style="57" customWidth="1"/>
    <col min="12806" max="12806" width="14.42578125" style="57" customWidth="1"/>
    <col min="12807" max="12808" width="14" style="57" customWidth="1"/>
    <col min="12809" max="12809" width="14.42578125" style="57" customWidth="1"/>
    <col min="12810" max="12811" width="14" style="57" customWidth="1"/>
    <col min="12812" max="13053" width="9.140625" style="57"/>
    <col min="13054" max="13054" width="11.7109375" style="57" bestFit="1" customWidth="1"/>
    <col min="13055" max="13055" width="93.140625" style="57" bestFit="1" customWidth="1"/>
    <col min="13056" max="13056" width="14.42578125" style="57" customWidth="1"/>
    <col min="13057" max="13057" width="14" style="57" customWidth="1"/>
    <col min="13058" max="13059" width="14.42578125" style="57" customWidth="1"/>
    <col min="13060" max="13060" width="14" style="57" customWidth="1"/>
    <col min="13061" max="13061" width="15.5703125" style="57" customWidth="1"/>
    <col min="13062" max="13062" width="14.42578125" style="57" customWidth="1"/>
    <col min="13063" max="13064" width="14" style="57" customWidth="1"/>
    <col min="13065" max="13065" width="14.42578125" style="57" customWidth="1"/>
    <col min="13066" max="13067" width="14" style="57" customWidth="1"/>
    <col min="13068" max="13309" width="9.140625" style="57"/>
    <col min="13310" max="13310" width="11.7109375" style="57" bestFit="1" customWidth="1"/>
    <col min="13311" max="13311" width="93.140625" style="57" bestFit="1" customWidth="1"/>
    <col min="13312" max="13312" width="14.42578125" style="57" customWidth="1"/>
    <col min="13313" max="13313" width="14" style="57" customWidth="1"/>
    <col min="13314" max="13315" width="14.42578125" style="57" customWidth="1"/>
    <col min="13316" max="13316" width="14" style="57" customWidth="1"/>
    <col min="13317" max="13317" width="15.5703125" style="57" customWidth="1"/>
    <col min="13318" max="13318" width="14.42578125" style="57" customWidth="1"/>
    <col min="13319" max="13320" width="14" style="57" customWidth="1"/>
    <col min="13321" max="13321" width="14.42578125" style="57" customWidth="1"/>
    <col min="13322" max="13323" width="14" style="57" customWidth="1"/>
    <col min="13324" max="13565" width="9.140625" style="57"/>
    <col min="13566" max="13566" width="11.7109375" style="57" bestFit="1" customWidth="1"/>
    <col min="13567" max="13567" width="93.140625" style="57" bestFit="1" customWidth="1"/>
    <col min="13568" max="13568" width="14.42578125" style="57" customWidth="1"/>
    <col min="13569" max="13569" width="14" style="57" customWidth="1"/>
    <col min="13570" max="13571" width="14.42578125" style="57" customWidth="1"/>
    <col min="13572" max="13572" width="14" style="57" customWidth="1"/>
    <col min="13573" max="13573" width="15.5703125" style="57" customWidth="1"/>
    <col min="13574" max="13574" width="14.42578125" style="57" customWidth="1"/>
    <col min="13575" max="13576" width="14" style="57" customWidth="1"/>
    <col min="13577" max="13577" width="14.42578125" style="57" customWidth="1"/>
    <col min="13578" max="13579" width="14" style="57" customWidth="1"/>
    <col min="13580" max="13821" width="9.140625" style="57"/>
    <col min="13822" max="13822" width="11.7109375" style="57" bestFit="1" customWidth="1"/>
    <col min="13823" max="13823" width="93.140625" style="57" bestFit="1" customWidth="1"/>
    <col min="13824" max="13824" width="14.42578125" style="57" customWidth="1"/>
    <col min="13825" max="13825" width="14" style="57" customWidth="1"/>
    <col min="13826" max="13827" width="14.42578125" style="57" customWidth="1"/>
    <col min="13828" max="13828" width="14" style="57" customWidth="1"/>
    <col min="13829" max="13829" width="15.5703125" style="57" customWidth="1"/>
    <col min="13830" max="13830" width="14.42578125" style="57" customWidth="1"/>
    <col min="13831" max="13832" width="14" style="57" customWidth="1"/>
    <col min="13833" max="13833" width="14.42578125" style="57" customWidth="1"/>
    <col min="13834" max="13835" width="14" style="57" customWidth="1"/>
    <col min="13836" max="14077" width="9.140625" style="57"/>
    <col min="14078" max="14078" width="11.7109375" style="57" bestFit="1" customWidth="1"/>
    <col min="14079" max="14079" width="93.140625" style="57" bestFit="1" customWidth="1"/>
    <col min="14080" max="14080" width="14.42578125" style="57" customWidth="1"/>
    <col min="14081" max="14081" width="14" style="57" customWidth="1"/>
    <col min="14082" max="14083" width="14.42578125" style="57" customWidth="1"/>
    <col min="14084" max="14084" width="14" style="57" customWidth="1"/>
    <col min="14085" max="14085" width="15.5703125" style="57" customWidth="1"/>
    <col min="14086" max="14086" width="14.42578125" style="57" customWidth="1"/>
    <col min="14087" max="14088" width="14" style="57" customWidth="1"/>
    <col min="14089" max="14089" width="14.42578125" style="57" customWidth="1"/>
    <col min="14090" max="14091" width="14" style="57" customWidth="1"/>
    <col min="14092" max="14333" width="9.140625" style="57"/>
    <col min="14334" max="14334" width="11.7109375" style="57" bestFit="1" customWidth="1"/>
    <col min="14335" max="14335" width="93.140625" style="57" bestFit="1" customWidth="1"/>
    <col min="14336" max="14336" width="14.42578125" style="57" customWidth="1"/>
    <col min="14337" max="14337" width="14" style="57" customWidth="1"/>
    <col min="14338" max="14339" width="14.42578125" style="57" customWidth="1"/>
    <col min="14340" max="14340" width="14" style="57" customWidth="1"/>
    <col min="14341" max="14341" width="15.5703125" style="57" customWidth="1"/>
    <col min="14342" max="14342" width="14.42578125" style="57" customWidth="1"/>
    <col min="14343" max="14344" width="14" style="57" customWidth="1"/>
    <col min="14345" max="14345" width="14.42578125" style="57" customWidth="1"/>
    <col min="14346" max="14347" width="14" style="57" customWidth="1"/>
    <col min="14348" max="14589" width="9.140625" style="57"/>
    <col min="14590" max="14590" width="11.7109375" style="57" bestFit="1" customWidth="1"/>
    <col min="14591" max="14591" width="93.140625" style="57" bestFit="1" customWidth="1"/>
    <col min="14592" max="14592" width="14.42578125" style="57" customWidth="1"/>
    <col min="14593" max="14593" width="14" style="57" customWidth="1"/>
    <col min="14594" max="14595" width="14.42578125" style="57" customWidth="1"/>
    <col min="14596" max="14596" width="14" style="57" customWidth="1"/>
    <col min="14597" max="14597" width="15.5703125" style="57" customWidth="1"/>
    <col min="14598" max="14598" width="14.42578125" style="57" customWidth="1"/>
    <col min="14599" max="14600" width="14" style="57" customWidth="1"/>
    <col min="14601" max="14601" width="14.42578125" style="57" customWidth="1"/>
    <col min="14602" max="14603" width="14" style="57" customWidth="1"/>
    <col min="14604" max="14845" width="9.140625" style="57"/>
    <col min="14846" max="14846" width="11.7109375" style="57" bestFit="1" customWidth="1"/>
    <col min="14847" max="14847" width="93.140625" style="57" bestFit="1" customWidth="1"/>
    <col min="14848" max="14848" width="14.42578125" style="57" customWidth="1"/>
    <col min="14849" max="14849" width="14" style="57" customWidth="1"/>
    <col min="14850" max="14851" width="14.42578125" style="57" customWidth="1"/>
    <col min="14852" max="14852" width="14" style="57" customWidth="1"/>
    <col min="14853" max="14853" width="15.5703125" style="57" customWidth="1"/>
    <col min="14854" max="14854" width="14.42578125" style="57" customWidth="1"/>
    <col min="14855" max="14856" width="14" style="57" customWidth="1"/>
    <col min="14857" max="14857" width="14.42578125" style="57" customWidth="1"/>
    <col min="14858" max="14859" width="14" style="57" customWidth="1"/>
    <col min="14860" max="15101" width="9.140625" style="57"/>
    <col min="15102" max="15102" width="11.7109375" style="57" bestFit="1" customWidth="1"/>
    <col min="15103" max="15103" width="93.140625" style="57" bestFit="1" customWidth="1"/>
    <col min="15104" max="15104" width="14.42578125" style="57" customWidth="1"/>
    <col min="15105" max="15105" width="14" style="57" customWidth="1"/>
    <col min="15106" max="15107" width="14.42578125" style="57" customWidth="1"/>
    <col min="15108" max="15108" width="14" style="57" customWidth="1"/>
    <col min="15109" max="15109" width="15.5703125" style="57" customWidth="1"/>
    <col min="15110" max="15110" width="14.42578125" style="57" customWidth="1"/>
    <col min="15111" max="15112" width="14" style="57" customWidth="1"/>
    <col min="15113" max="15113" width="14.42578125" style="57" customWidth="1"/>
    <col min="15114" max="15115" width="14" style="57" customWidth="1"/>
    <col min="15116" max="15357" width="9.140625" style="57"/>
    <col min="15358" max="15358" width="11.7109375" style="57" bestFit="1" customWidth="1"/>
    <col min="15359" max="15359" width="93.140625" style="57" bestFit="1" customWidth="1"/>
    <col min="15360" max="15360" width="14.42578125" style="57" customWidth="1"/>
    <col min="15361" max="15361" width="14" style="57" customWidth="1"/>
    <col min="15362" max="15363" width="14.42578125" style="57" customWidth="1"/>
    <col min="15364" max="15364" width="14" style="57" customWidth="1"/>
    <col min="15365" max="15365" width="15.5703125" style="57" customWidth="1"/>
    <col min="15366" max="15366" width="14.42578125" style="57" customWidth="1"/>
    <col min="15367" max="15368" width="14" style="57" customWidth="1"/>
    <col min="15369" max="15369" width="14.42578125" style="57" customWidth="1"/>
    <col min="15370" max="15371" width="14" style="57" customWidth="1"/>
    <col min="15372" max="15613" width="9.140625" style="57"/>
    <col min="15614" max="15614" width="11.7109375" style="57" bestFit="1" customWidth="1"/>
    <col min="15615" max="15615" width="93.140625" style="57" bestFit="1" customWidth="1"/>
    <col min="15616" max="15616" width="14.42578125" style="57" customWidth="1"/>
    <col min="15617" max="15617" width="14" style="57" customWidth="1"/>
    <col min="15618" max="15619" width="14.42578125" style="57" customWidth="1"/>
    <col min="15620" max="15620" width="14" style="57" customWidth="1"/>
    <col min="15621" max="15621" width="15.5703125" style="57" customWidth="1"/>
    <col min="15622" max="15622" width="14.42578125" style="57" customWidth="1"/>
    <col min="15623" max="15624" width="14" style="57" customWidth="1"/>
    <col min="15625" max="15625" width="14.42578125" style="57" customWidth="1"/>
    <col min="15626" max="15627" width="14" style="57" customWidth="1"/>
    <col min="15628" max="15869" width="9.140625" style="57"/>
    <col min="15870" max="15870" width="11.7109375" style="57" bestFit="1" customWidth="1"/>
    <col min="15871" max="15871" width="93.140625" style="57" bestFit="1" customWidth="1"/>
    <col min="15872" max="15872" width="14.42578125" style="57" customWidth="1"/>
    <col min="15873" max="15873" width="14" style="57" customWidth="1"/>
    <col min="15874" max="15875" width="14.42578125" style="57" customWidth="1"/>
    <col min="15876" max="15876" width="14" style="57" customWidth="1"/>
    <col min="15877" max="15877" width="15.5703125" style="57" customWidth="1"/>
    <col min="15878" max="15878" width="14.42578125" style="57" customWidth="1"/>
    <col min="15879" max="15880" width="14" style="57" customWidth="1"/>
    <col min="15881" max="15881" width="14.42578125" style="57" customWidth="1"/>
    <col min="15882" max="15883" width="14" style="57" customWidth="1"/>
    <col min="15884" max="16125" width="9.140625" style="57"/>
    <col min="16126" max="16126" width="11.7109375" style="57" bestFit="1" customWidth="1"/>
    <col min="16127" max="16127" width="93.140625" style="57" bestFit="1" customWidth="1"/>
    <col min="16128" max="16128" width="14.42578125" style="57" customWidth="1"/>
    <col min="16129" max="16129" width="14" style="57" customWidth="1"/>
    <col min="16130" max="16131" width="14.42578125" style="57" customWidth="1"/>
    <col min="16132" max="16132" width="14" style="57" customWidth="1"/>
    <col min="16133" max="16133" width="15.5703125" style="57" customWidth="1"/>
    <col min="16134" max="16134" width="14.42578125" style="57" customWidth="1"/>
    <col min="16135" max="16136" width="14" style="57" customWidth="1"/>
    <col min="16137" max="16137" width="14.42578125" style="57" customWidth="1"/>
    <col min="16138" max="16139" width="14" style="57" customWidth="1"/>
    <col min="16140" max="16384" width="9.140625" style="57"/>
  </cols>
  <sheetData>
    <row r="1" spans="1:16" ht="15">
      <c r="B1" s="58"/>
      <c r="D1" s="59"/>
      <c r="E1" s="60"/>
      <c r="J1" s="272" t="s">
        <v>126</v>
      </c>
      <c r="K1" s="272"/>
      <c r="L1" s="272"/>
      <c r="M1" s="272"/>
      <c r="N1" s="272"/>
      <c r="O1" s="152"/>
      <c r="P1" s="152"/>
    </row>
    <row r="2" spans="1:16" ht="15">
      <c r="B2" s="58"/>
      <c r="D2" s="59"/>
      <c r="E2" s="60"/>
      <c r="L2" s="211"/>
      <c r="M2" s="211"/>
      <c r="N2" s="211" t="s">
        <v>111</v>
      </c>
      <c r="O2" s="211"/>
      <c r="P2" s="211"/>
    </row>
    <row r="3" spans="1:16">
      <c r="B3" s="58"/>
      <c r="D3" s="59"/>
      <c r="E3" s="60"/>
      <c r="G3" s="59"/>
      <c r="H3" s="60"/>
      <c r="J3" s="59"/>
      <c r="K3" s="60"/>
      <c r="M3" s="59"/>
      <c r="N3" s="60" t="s">
        <v>112</v>
      </c>
    </row>
    <row r="4" spans="1:16" ht="13.5" thickBot="1">
      <c r="A4" s="62"/>
      <c r="B4" s="58"/>
    </row>
    <row r="5" spans="1:16" ht="16.5" thickBot="1">
      <c r="A5" s="250" t="s">
        <v>0</v>
      </c>
      <c r="B5" s="253" t="s">
        <v>1</v>
      </c>
      <c r="C5" s="256" t="s">
        <v>94</v>
      </c>
      <c r="D5" s="257"/>
      <c r="E5" s="258"/>
      <c r="F5" s="256" t="s">
        <v>95</v>
      </c>
      <c r="G5" s="257"/>
      <c r="H5" s="258"/>
      <c r="I5" s="256" t="s">
        <v>96</v>
      </c>
      <c r="J5" s="257"/>
      <c r="K5" s="258"/>
      <c r="L5" s="256" t="s">
        <v>93</v>
      </c>
      <c r="M5" s="257"/>
      <c r="N5" s="258"/>
    </row>
    <row r="6" spans="1:16" ht="13.5" customHeight="1">
      <c r="A6" s="251"/>
      <c r="B6" s="254"/>
      <c r="C6" s="259" t="s">
        <v>118</v>
      </c>
      <c r="D6" s="260"/>
      <c r="E6" s="261"/>
      <c r="F6" s="259" t="s">
        <v>98</v>
      </c>
      <c r="G6" s="260"/>
      <c r="H6" s="261"/>
      <c r="I6" s="259" t="s">
        <v>99</v>
      </c>
      <c r="J6" s="260"/>
      <c r="K6" s="261"/>
      <c r="L6" s="259" t="s">
        <v>103</v>
      </c>
      <c r="M6" s="260"/>
      <c r="N6" s="261"/>
    </row>
    <row r="7" spans="1:16" ht="40.5" customHeight="1" thickBot="1">
      <c r="A7" s="251"/>
      <c r="B7" s="254"/>
      <c r="C7" s="262"/>
      <c r="D7" s="263"/>
      <c r="E7" s="264"/>
      <c r="F7" s="262"/>
      <c r="G7" s="263"/>
      <c r="H7" s="264"/>
      <c r="I7" s="262"/>
      <c r="J7" s="263"/>
      <c r="K7" s="264"/>
      <c r="L7" s="262"/>
      <c r="M7" s="263"/>
      <c r="N7" s="264"/>
    </row>
    <row r="8" spans="1:16" ht="20.25" customHeight="1">
      <c r="A8" s="251"/>
      <c r="B8" s="254"/>
      <c r="C8" s="237" t="s">
        <v>115</v>
      </c>
      <c r="D8" s="239" t="s">
        <v>109</v>
      </c>
      <c r="E8" s="231" t="s">
        <v>110</v>
      </c>
      <c r="F8" s="237" t="s">
        <v>115</v>
      </c>
      <c r="G8" s="239" t="s">
        <v>109</v>
      </c>
      <c r="H8" s="231" t="s">
        <v>110</v>
      </c>
      <c r="I8" s="237" t="s">
        <v>115</v>
      </c>
      <c r="J8" s="239" t="s">
        <v>109</v>
      </c>
      <c r="K8" s="231" t="s">
        <v>110</v>
      </c>
      <c r="L8" s="237" t="s">
        <v>115</v>
      </c>
      <c r="M8" s="239" t="s">
        <v>109</v>
      </c>
      <c r="N8" s="231" t="s">
        <v>110</v>
      </c>
    </row>
    <row r="9" spans="1:16" ht="50.25" customHeight="1" thickBot="1">
      <c r="A9" s="252"/>
      <c r="B9" s="255"/>
      <c r="C9" s="238"/>
      <c r="D9" s="240"/>
      <c r="E9" s="232"/>
      <c r="F9" s="238"/>
      <c r="G9" s="240"/>
      <c r="H9" s="232"/>
      <c r="I9" s="238"/>
      <c r="J9" s="240"/>
      <c r="K9" s="232"/>
      <c r="L9" s="238"/>
      <c r="M9" s="240"/>
      <c r="N9" s="232"/>
    </row>
    <row r="10" spans="1:16" ht="16.5" thickBot="1">
      <c r="A10" s="266" t="s">
        <v>2</v>
      </c>
      <c r="B10" s="267"/>
      <c r="C10" s="64">
        <v>79</v>
      </c>
      <c r="D10" s="65">
        <f>C10+1</f>
        <v>80</v>
      </c>
      <c r="E10" s="66">
        <f t="shared" ref="E10:N10" si="0">D10+1</f>
        <v>81</v>
      </c>
      <c r="F10" s="64">
        <f t="shared" si="0"/>
        <v>82</v>
      </c>
      <c r="G10" s="65">
        <f t="shared" si="0"/>
        <v>83</v>
      </c>
      <c r="H10" s="66">
        <f t="shared" si="0"/>
        <v>84</v>
      </c>
      <c r="I10" s="64">
        <f t="shared" si="0"/>
        <v>85</v>
      </c>
      <c r="J10" s="65">
        <f t="shared" si="0"/>
        <v>86</v>
      </c>
      <c r="K10" s="66">
        <f t="shared" si="0"/>
        <v>87</v>
      </c>
      <c r="L10" s="64">
        <f t="shared" si="0"/>
        <v>88</v>
      </c>
      <c r="M10" s="65">
        <f t="shared" si="0"/>
        <v>89</v>
      </c>
      <c r="N10" s="66">
        <f t="shared" si="0"/>
        <v>90</v>
      </c>
    </row>
    <row r="11" spans="1:16" ht="15.75">
      <c r="A11" s="1">
        <v>1</v>
      </c>
      <c r="B11" s="21" t="s">
        <v>3</v>
      </c>
      <c r="C11" s="69">
        <f>102165+8610-40+160</f>
        <v>110895</v>
      </c>
      <c r="D11" s="69">
        <v>1076</v>
      </c>
      <c r="E11" s="179">
        <f>SUM(C11:D11)</f>
        <v>111971</v>
      </c>
      <c r="F11" s="69">
        <f>39219+776+1977+1515</f>
        <v>43487</v>
      </c>
      <c r="G11" s="69"/>
      <c r="H11" s="179">
        <f>SUM(F11:G11)</f>
        <v>43487</v>
      </c>
      <c r="I11" s="132">
        <f>49759+2539+260</f>
        <v>52558</v>
      </c>
      <c r="J11" s="132">
        <v>13</v>
      </c>
      <c r="K11" s="183">
        <f>SUM(I11:J11)</f>
        <v>52571</v>
      </c>
      <c r="L11" s="69">
        <f>9963+177</f>
        <v>10140</v>
      </c>
      <c r="M11" s="69"/>
      <c r="N11" s="161">
        <f>SUM(L11:M11)</f>
        <v>10140</v>
      </c>
    </row>
    <row r="12" spans="1:16" ht="15.75">
      <c r="A12" s="2">
        <v>2</v>
      </c>
      <c r="B12" s="15" t="s">
        <v>4</v>
      </c>
      <c r="C12" s="73">
        <f>25688+2312-160</f>
        <v>27840</v>
      </c>
      <c r="D12" s="73">
        <v>291</v>
      </c>
      <c r="E12" s="166">
        <f t="shared" ref="E12:E64" si="1">SUM(C12:D12)</f>
        <v>28131</v>
      </c>
      <c r="F12" s="73">
        <f>9750+183+534+326</f>
        <v>10793</v>
      </c>
      <c r="G12" s="73"/>
      <c r="H12" s="166">
        <f t="shared" ref="H12:H64" si="2">SUM(F12:G12)</f>
        <v>10793</v>
      </c>
      <c r="I12" s="133">
        <f>12783+686</f>
        <v>13469</v>
      </c>
      <c r="J12" s="133">
        <v>3</v>
      </c>
      <c r="K12" s="184">
        <f t="shared" ref="K12:K64" si="3">SUM(I12:J12)</f>
        <v>13472</v>
      </c>
      <c r="L12" s="73">
        <f>2626+48</f>
        <v>2674</v>
      </c>
      <c r="M12" s="73"/>
      <c r="N12" s="162">
        <f t="shared" ref="N12:N64" si="4">SUM(L12:M12)</f>
        <v>2674</v>
      </c>
    </row>
    <row r="13" spans="1:16" ht="15.75">
      <c r="A13" s="2">
        <v>3</v>
      </c>
      <c r="B13" s="22" t="s">
        <v>5</v>
      </c>
      <c r="C13" s="73">
        <f>40995+160</f>
        <v>41155</v>
      </c>
      <c r="D13" s="73"/>
      <c r="E13" s="167">
        <f t="shared" si="1"/>
        <v>41155</v>
      </c>
      <c r="F13" s="73">
        <f>7915+4345+630</f>
        <v>12890</v>
      </c>
      <c r="G13" s="73">
        <v>1600</v>
      </c>
      <c r="H13" s="167">
        <f t="shared" si="2"/>
        <v>14490</v>
      </c>
      <c r="I13" s="133">
        <f>10577+530+150</f>
        <v>11257</v>
      </c>
      <c r="J13" s="133"/>
      <c r="K13" s="184">
        <f t="shared" si="3"/>
        <v>11257</v>
      </c>
      <c r="L13" s="73">
        <f>1688+4400</f>
        <v>6088</v>
      </c>
      <c r="M13" s="73"/>
      <c r="N13" s="162">
        <f t="shared" si="4"/>
        <v>6088</v>
      </c>
    </row>
    <row r="14" spans="1:16" ht="15.75">
      <c r="A14" s="3">
        <v>4</v>
      </c>
      <c r="B14" s="23" t="s">
        <v>6</v>
      </c>
      <c r="C14" s="79">
        <f>628+200+83</f>
        <v>911</v>
      </c>
      <c r="D14" s="79"/>
      <c r="E14" s="166">
        <f t="shared" si="1"/>
        <v>911</v>
      </c>
      <c r="F14" s="79">
        <f>622+55</f>
        <v>677</v>
      </c>
      <c r="G14" s="79"/>
      <c r="H14" s="166">
        <f t="shared" si="2"/>
        <v>677</v>
      </c>
      <c r="I14" s="133">
        <f>693+65</f>
        <v>758</v>
      </c>
      <c r="J14" s="133"/>
      <c r="K14" s="184">
        <f t="shared" si="3"/>
        <v>758</v>
      </c>
      <c r="L14" s="79"/>
      <c r="M14" s="79"/>
      <c r="N14" s="162">
        <f t="shared" si="4"/>
        <v>0</v>
      </c>
    </row>
    <row r="15" spans="1:16" ht="15.75">
      <c r="A15" s="2">
        <v>5</v>
      </c>
      <c r="B15" s="24" t="s">
        <v>7</v>
      </c>
      <c r="C15" s="79">
        <f>SUM(C13:C14)</f>
        <v>42066</v>
      </c>
      <c r="D15" s="79">
        <f>SUM(D13:D14)</f>
        <v>0</v>
      </c>
      <c r="E15" s="165">
        <f t="shared" si="1"/>
        <v>42066</v>
      </c>
      <c r="F15" s="79">
        <f>SUM(F13:F14)</f>
        <v>13567</v>
      </c>
      <c r="G15" s="79">
        <f>SUM(G13:G14)</f>
        <v>1600</v>
      </c>
      <c r="H15" s="165">
        <f t="shared" si="2"/>
        <v>15167</v>
      </c>
      <c r="I15" s="133">
        <f>SUM(I13:I14)</f>
        <v>12015</v>
      </c>
      <c r="J15" s="133">
        <f>SUM(J13:J14)</f>
        <v>0</v>
      </c>
      <c r="K15" s="184">
        <f t="shared" si="3"/>
        <v>12015</v>
      </c>
      <c r="L15" s="79">
        <f>SUM(L13:L14)</f>
        <v>6088</v>
      </c>
      <c r="M15" s="79">
        <f>SUM(M13:M14)</f>
        <v>0</v>
      </c>
      <c r="N15" s="162">
        <f t="shared" si="4"/>
        <v>6088</v>
      </c>
    </row>
    <row r="16" spans="1:16" ht="16.5" thickBot="1">
      <c r="A16" s="4">
        <v>6</v>
      </c>
      <c r="B16" s="16" t="s">
        <v>8</v>
      </c>
      <c r="C16" s="84">
        <v>15009</v>
      </c>
      <c r="D16" s="84"/>
      <c r="E16" s="165">
        <f t="shared" si="1"/>
        <v>15009</v>
      </c>
      <c r="F16" s="84"/>
      <c r="G16" s="84"/>
      <c r="H16" s="165">
        <f t="shared" si="2"/>
        <v>0</v>
      </c>
      <c r="I16" s="134"/>
      <c r="J16" s="134"/>
      <c r="K16" s="185">
        <f t="shared" si="3"/>
        <v>0</v>
      </c>
      <c r="L16" s="84"/>
      <c r="M16" s="84"/>
      <c r="N16" s="163">
        <f t="shared" si="4"/>
        <v>0</v>
      </c>
    </row>
    <row r="17" spans="1:14" ht="16.5" thickBot="1">
      <c r="A17" s="5">
        <v>7</v>
      </c>
      <c r="B17" s="20" t="s">
        <v>9</v>
      </c>
      <c r="C17" s="87">
        <f>C11+C12+C15</f>
        <v>180801</v>
      </c>
      <c r="D17" s="87">
        <f>D11+D12+D15</f>
        <v>1367</v>
      </c>
      <c r="E17" s="168">
        <f t="shared" si="1"/>
        <v>182168</v>
      </c>
      <c r="F17" s="87">
        <f>F11+F12+F15</f>
        <v>67847</v>
      </c>
      <c r="G17" s="87">
        <f>G11+G12+G15</f>
        <v>1600</v>
      </c>
      <c r="H17" s="168">
        <f t="shared" si="2"/>
        <v>69447</v>
      </c>
      <c r="I17" s="135">
        <f>I11+I12+I15</f>
        <v>78042</v>
      </c>
      <c r="J17" s="135">
        <f>J11+J12+J15</f>
        <v>16</v>
      </c>
      <c r="K17" s="186">
        <f t="shared" si="3"/>
        <v>78058</v>
      </c>
      <c r="L17" s="87">
        <f>L11+L12+L15</f>
        <v>18902</v>
      </c>
      <c r="M17" s="87">
        <f>M11+M12+M15</f>
        <v>0</v>
      </c>
      <c r="N17" s="164">
        <f t="shared" si="4"/>
        <v>18902</v>
      </c>
    </row>
    <row r="18" spans="1:14" ht="15.75">
      <c r="A18" s="6">
        <v>8</v>
      </c>
      <c r="B18" s="13" t="s">
        <v>10</v>
      </c>
      <c r="C18" s="90"/>
      <c r="D18" s="90"/>
      <c r="E18" s="165">
        <f t="shared" si="1"/>
        <v>0</v>
      </c>
      <c r="F18" s="90"/>
      <c r="G18" s="90"/>
      <c r="H18" s="165">
        <f t="shared" si="2"/>
        <v>0</v>
      </c>
      <c r="I18" s="132"/>
      <c r="J18" s="132"/>
      <c r="K18" s="183">
        <f t="shared" si="3"/>
        <v>0</v>
      </c>
      <c r="L18" s="90"/>
      <c r="M18" s="90"/>
      <c r="N18" s="165">
        <f t="shared" si="4"/>
        <v>0</v>
      </c>
    </row>
    <row r="19" spans="1:14" ht="15.75">
      <c r="A19" s="2">
        <v>9</v>
      </c>
      <c r="B19" s="15" t="s">
        <v>11</v>
      </c>
      <c r="C19" s="73"/>
      <c r="D19" s="73"/>
      <c r="E19" s="166">
        <f t="shared" si="1"/>
        <v>0</v>
      </c>
      <c r="F19" s="73"/>
      <c r="G19" s="73"/>
      <c r="H19" s="166">
        <f t="shared" si="2"/>
        <v>0</v>
      </c>
      <c r="I19" s="133"/>
      <c r="J19" s="133"/>
      <c r="K19" s="184">
        <f t="shared" si="3"/>
        <v>0</v>
      </c>
      <c r="L19" s="73"/>
      <c r="M19" s="73"/>
      <c r="N19" s="166">
        <f t="shared" si="4"/>
        <v>0</v>
      </c>
    </row>
    <row r="20" spans="1:14" ht="15.75">
      <c r="A20" s="6">
        <v>10</v>
      </c>
      <c r="B20" s="13" t="s">
        <v>12</v>
      </c>
      <c r="C20" s="90"/>
      <c r="D20" s="90"/>
      <c r="E20" s="165">
        <f t="shared" si="1"/>
        <v>0</v>
      </c>
      <c r="F20" s="90">
        <v>1556</v>
      </c>
      <c r="G20" s="90"/>
      <c r="H20" s="165">
        <f t="shared" si="2"/>
        <v>1556</v>
      </c>
      <c r="I20" s="136">
        <v>12447</v>
      </c>
      <c r="J20" s="136"/>
      <c r="K20" s="187">
        <f t="shared" si="3"/>
        <v>12447</v>
      </c>
      <c r="L20" s="90"/>
      <c r="M20" s="90"/>
      <c r="N20" s="165">
        <f t="shared" si="4"/>
        <v>0</v>
      </c>
    </row>
    <row r="21" spans="1:14" ht="15.75">
      <c r="A21" s="2">
        <v>11</v>
      </c>
      <c r="B21" s="25" t="s">
        <v>116</v>
      </c>
      <c r="C21" s="84"/>
      <c r="D21" s="84"/>
      <c r="E21" s="166">
        <f t="shared" si="1"/>
        <v>0</v>
      </c>
      <c r="F21" s="84"/>
      <c r="G21" s="84"/>
      <c r="H21" s="166">
        <f t="shared" si="2"/>
        <v>0</v>
      </c>
      <c r="I21" s="137"/>
      <c r="J21" s="137"/>
      <c r="K21" s="184">
        <f t="shared" si="3"/>
        <v>0</v>
      </c>
      <c r="L21" s="84"/>
      <c r="M21" s="84"/>
      <c r="N21" s="166">
        <f t="shared" si="4"/>
        <v>0</v>
      </c>
    </row>
    <row r="22" spans="1:14" ht="16.5" thickBot="1">
      <c r="A22" s="1">
        <v>12</v>
      </c>
      <c r="B22" s="26" t="s">
        <v>117</v>
      </c>
      <c r="C22" s="93"/>
      <c r="D22" s="93"/>
      <c r="E22" s="167">
        <f t="shared" si="1"/>
        <v>0</v>
      </c>
      <c r="F22" s="93"/>
      <c r="G22" s="93"/>
      <c r="H22" s="167">
        <f t="shared" si="2"/>
        <v>0</v>
      </c>
      <c r="I22" s="134"/>
      <c r="J22" s="134"/>
      <c r="K22" s="185">
        <f t="shared" si="3"/>
        <v>0</v>
      </c>
      <c r="L22" s="93"/>
      <c r="M22" s="93"/>
      <c r="N22" s="167">
        <f t="shared" si="4"/>
        <v>0</v>
      </c>
    </row>
    <row r="23" spans="1:14" ht="16.5" thickBot="1">
      <c r="A23" s="5">
        <v>13</v>
      </c>
      <c r="B23" s="27" t="s">
        <v>13</v>
      </c>
      <c r="C23" s="87">
        <f>C18+C19+C20+C21+C22</f>
        <v>0</v>
      </c>
      <c r="D23" s="87">
        <f>D18+D19+D20+D21+D22</f>
        <v>0</v>
      </c>
      <c r="E23" s="168">
        <f t="shared" si="1"/>
        <v>0</v>
      </c>
      <c r="F23" s="87">
        <f>F18+F19+F20+F21+F22</f>
        <v>1556</v>
      </c>
      <c r="G23" s="87">
        <f>G18+G19+G20+G21+G22</f>
        <v>0</v>
      </c>
      <c r="H23" s="168">
        <f t="shared" si="2"/>
        <v>1556</v>
      </c>
      <c r="I23" s="135">
        <f>I18+I19+I20+I21+I22</f>
        <v>12447</v>
      </c>
      <c r="J23" s="135">
        <f>J18+J19+J20+J21+J22</f>
        <v>0</v>
      </c>
      <c r="K23" s="186">
        <f t="shared" si="3"/>
        <v>12447</v>
      </c>
      <c r="L23" s="87">
        <f>L18+L19+L20+L21+L22</f>
        <v>0</v>
      </c>
      <c r="M23" s="87">
        <f>M18+M19+M20+M21+M22</f>
        <v>0</v>
      </c>
      <c r="N23" s="168">
        <f t="shared" si="4"/>
        <v>0</v>
      </c>
    </row>
    <row r="24" spans="1:14" ht="15.75">
      <c r="A24" s="6">
        <v>14</v>
      </c>
      <c r="B24" s="13" t="s">
        <v>14</v>
      </c>
      <c r="C24" s="90"/>
      <c r="D24" s="90"/>
      <c r="E24" s="165">
        <f t="shared" si="1"/>
        <v>0</v>
      </c>
      <c r="F24" s="90"/>
      <c r="G24" s="90"/>
      <c r="H24" s="165">
        <f t="shared" si="2"/>
        <v>0</v>
      </c>
      <c r="I24" s="132"/>
      <c r="J24" s="132"/>
      <c r="K24" s="183">
        <f t="shared" si="3"/>
        <v>0</v>
      </c>
      <c r="L24" s="90"/>
      <c r="M24" s="90"/>
      <c r="N24" s="165">
        <f t="shared" si="4"/>
        <v>0</v>
      </c>
    </row>
    <row r="25" spans="1:14" ht="15.75">
      <c r="A25" s="2">
        <v>15</v>
      </c>
      <c r="B25" s="15" t="s">
        <v>15</v>
      </c>
      <c r="C25" s="73"/>
      <c r="D25" s="73"/>
      <c r="E25" s="165">
        <f t="shared" si="1"/>
        <v>0</v>
      </c>
      <c r="F25" s="73"/>
      <c r="G25" s="73"/>
      <c r="H25" s="165">
        <f t="shared" si="2"/>
        <v>0</v>
      </c>
      <c r="I25" s="133"/>
      <c r="J25" s="133"/>
      <c r="K25" s="184">
        <f t="shared" si="3"/>
        <v>0</v>
      </c>
      <c r="L25" s="73"/>
      <c r="M25" s="73"/>
      <c r="N25" s="165">
        <f t="shared" si="4"/>
        <v>0</v>
      </c>
    </row>
    <row r="26" spans="1:14" ht="15.75">
      <c r="A26" s="6">
        <v>16</v>
      </c>
      <c r="B26" s="13" t="s">
        <v>16</v>
      </c>
      <c r="C26" s="90"/>
      <c r="D26" s="90"/>
      <c r="E26" s="165">
        <f t="shared" si="1"/>
        <v>0</v>
      </c>
      <c r="F26" s="90"/>
      <c r="G26" s="90"/>
      <c r="H26" s="165">
        <f t="shared" si="2"/>
        <v>0</v>
      </c>
      <c r="I26" s="133"/>
      <c r="J26" s="133"/>
      <c r="K26" s="184">
        <f t="shared" si="3"/>
        <v>0</v>
      </c>
      <c r="L26" s="90"/>
      <c r="M26" s="90"/>
      <c r="N26" s="165">
        <f t="shared" si="4"/>
        <v>0</v>
      </c>
    </row>
    <row r="27" spans="1:14" ht="15.75">
      <c r="A27" s="2">
        <v>17</v>
      </c>
      <c r="B27" s="28" t="s">
        <v>17</v>
      </c>
      <c r="C27" s="73"/>
      <c r="D27" s="73"/>
      <c r="E27" s="166">
        <f t="shared" si="1"/>
        <v>0</v>
      </c>
      <c r="F27" s="73">
        <v>1800</v>
      </c>
      <c r="G27" s="73"/>
      <c r="H27" s="166">
        <f t="shared" si="2"/>
        <v>1800</v>
      </c>
      <c r="I27" s="138">
        <v>900</v>
      </c>
      <c r="J27" s="138"/>
      <c r="K27" s="188">
        <f t="shared" si="3"/>
        <v>900</v>
      </c>
      <c r="L27" s="73"/>
      <c r="M27" s="73"/>
      <c r="N27" s="166">
        <f t="shared" si="4"/>
        <v>0</v>
      </c>
    </row>
    <row r="28" spans="1:14" ht="16.5" thickBot="1">
      <c r="A28" s="8">
        <v>18</v>
      </c>
      <c r="B28" s="29" t="s">
        <v>18</v>
      </c>
      <c r="C28" s="73"/>
      <c r="D28" s="73"/>
      <c r="E28" s="166">
        <f t="shared" si="1"/>
        <v>0</v>
      </c>
      <c r="F28" s="73"/>
      <c r="G28" s="73"/>
      <c r="H28" s="166">
        <f t="shared" si="2"/>
        <v>0</v>
      </c>
      <c r="I28" s="139"/>
      <c r="J28" s="139"/>
      <c r="K28" s="189">
        <f t="shared" si="3"/>
        <v>0</v>
      </c>
      <c r="L28" s="73"/>
      <c r="M28" s="73"/>
      <c r="N28" s="166">
        <f t="shared" si="4"/>
        <v>0</v>
      </c>
    </row>
    <row r="29" spans="1:14" ht="15.75">
      <c r="A29" s="6">
        <v>19</v>
      </c>
      <c r="B29" s="13" t="s">
        <v>19</v>
      </c>
      <c r="C29" s="90"/>
      <c r="D29" s="90"/>
      <c r="E29" s="165">
        <f t="shared" si="1"/>
        <v>0</v>
      </c>
      <c r="F29" s="90">
        <v>900</v>
      </c>
      <c r="G29" s="90"/>
      <c r="H29" s="165">
        <f t="shared" si="2"/>
        <v>900</v>
      </c>
      <c r="I29" s="133"/>
      <c r="J29" s="133"/>
      <c r="K29" s="184">
        <f t="shared" si="3"/>
        <v>0</v>
      </c>
      <c r="L29" s="90"/>
      <c r="M29" s="90"/>
      <c r="N29" s="165">
        <f t="shared" si="4"/>
        <v>0</v>
      </c>
    </row>
    <row r="30" spans="1:14" ht="16.5" thickBot="1">
      <c r="A30" s="3">
        <v>20</v>
      </c>
      <c r="B30" s="24" t="s">
        <v>20</v>
      </c>
      <c r="C30" s="95"/>
      <c r="D30" s="95"/>
      <c r="E30" s="167">
        <f t="shared" si="1"/>
        <v>0</v>
      </c>
      <c r="F30" s="95"/>
      <c r="G30" s="95"/>
      <c r="H30" s="167">
        <f t="shared" si="2"/>
        <v>0</v>
      </c>
      <c r="I30" s="140"/>
      <c r="J30" s="140"/>
      <c r="K30" s="185">
        <f t="shared" si="3"/>
        <v>0</v>
      </c>
      <c r="L30" s="95"/>
      <c r="M30" s="95"/>
      <c r="N30" s="167">
        <f t="shared" si="4"/>
        <v>0</v>
      </c>
    </row>
    <row r="31" spans="1:14" ht="16.5" thickBot="1">
      <c r="A31" s="5">
        <v>21</v>
      </c>
      <c r="B31" s="20" t="s">
        <v>21</v>
      </c>
      <c r="C31" s="87">
        <f>SUM(C29:C30)</f>
        <v>0</v>
      </c>
      <c r="D31" s="87">
        <f>SUM(D29:D30)</f>
        <v>0</v>
      </c>
      <c r="E31" s="168">
        <f t="shared" si="1"/>
        <v>0</v>
      </c>
      <c r="F31" s="87">
        <f>SUM(F29:F30)</f>
        <v>900</v>
      </c>
      <c r="G31" s="87">
        <f>SUM(G29:G30)</f>
        <v>0</v>
      </c>
      <c r="H31" s="168">
        <f t="shared" si="2"/>
        <v>900</v>
      </c>
      <c r="I31" s="135">
        <f>SUM(I29:I30)</f>
        <v>0</v>
      </c>
      <c r="J31" s="135">
        <f>SUM(J29:J30)</f>
        <v>0</v>
      </c>
      <c r="K31" s="186">
        <f t="shared" si="3"/>
        <v>0</v>
      </c>
      <c r="L31" s="87">
        <f>SUM(L29:L30)</f>
        <v>0</v>
      </c>
      <c r="M31" s="87">
        <f>SUM(M29:M30)</f>
        <v>0</v>
      </c>
      <c r="N31" s="168">
        <f t="shared" si="4"/>
        <v>0</v>
      </c>
    </row>
    <row r="32" spans="1:14" ht="15.75">
      <c r="A32" s="3">
        <v>22</v>
      </c>
      <c r="B32" s="24" t="s">
        <v>22</v>
      </c>
      <c r="C32" s="79"/>
      <c r="D32" s="79"/>
      <c r="E32" s="167">
        <f t="shared" si="1"/>
        <v>0</v>
      </c>
      <c r="F32" s="79"/>
      <c r="G32" s="79"/>
      <c r="H32" s="167">
        <f t="shared" si="2"/>
        <v>0</v>
      </c>
      <c r="I32" s="132"/>
      <c r="J32" s="132"/>
      <c r="K32" s="183">
        <f t="shared" si="3"/>
        <v>0</v>
      </c>
      <c r="L32" s="79"/>
      <c r="M32" s="79"/>
      <c r="N32" s="167">
        <f t="shared" si="4"/>
        <v>0</v>
      </c>
    </row>
    <row r="33" spans="1:14" ht="15.75">
      <c r="A33" s="2">
        <v>23</v>
      </c>
      <c r="B33" s="15" t="s">
        <v>23</v>
      </c>
      <c r="C33" s="73"/>
      <c r="D33" s="73"/>
      <c r="E33" s="166">
        <f t="shared" si="1"/>
        <v>0</v>
      </c>
      <c r="F33" s="73"/>
      <c r="G33" s="73"/>
      <c r="H33" s="166">
        <f t="shared" si="2"/>
        <v>0</v>
      </c>
      <c r="I33" s="136"/>
      <c r="J33" s="136"/>
      <c r="K33" s="187">
        <f t="shared" si="3"/>
        <v>0</v>
      </c>
      <c r="L33" s="73"/>
      <c r="M33" s="73"/>
      <c r="N33" s="166">
        <f t="shared" si="4"/>
        <v>0</v>
      </c>
    </row>
    <row r="34" spans="1:14" ht="15.75">
      <c r="A34" s="6">
        <v>24</v>
      </c>
      <c r="B34" s="13" t="s">
        <v>24</v>
      </c>
      <c r="C34" s="90"/>
      <c r="D34" s="90"/>
      <c r="E34" s="165">
        <f t="shared" si="1"/>
        <v>0</v>
      </c>
      <c r="F34" s="90"/>
      <c r="G34" s="90"/>
      <c r="H34" s="165">
        <f t="shared" si="2"/>
        <v>0</v>
      </c>
      <c r="I34" s="136"/>
      <c r="J34" s="136"/>
      <c r="K34" s="187">
        <f t="shared" si="3"/>
        <v>0</v>
      </c>
      <c r="L34" s="90"/>
      <c r="M34" s="90"/>
      <c r="N34" s="165">
        <f t="shared" si="4"/>
        <v>0</v>
      </c>
    </row>
    <row r="35" spans="1:14" ht="16.5" thickBot="1">
      <c r="A35" s="2">
        <v>25</v>
      </c>
      <c r="B35" s="15" t="s">
        <v>25</v>
      </c>
      <c r="C35" s="73"/>
      <c r="D35" s="73"/>
      <c r="E35" s="165">
        <f t="shared" si="1"/>
        <v>0</v>
      </c>
      <c r="F35" s="73"/>
      <c r="G35" s="73"/>
      <c r="H35" s="165">
        <f t="shared" si="2"/>
        <v>0</v>
      </c>
      <c r="I35" s="136"/>
      <c r="J35" s="136"/>
      <c r="K35" s="187">
        <f t="shared" si="3"/>
        <v>0</v>
      </c>
      <c r="L35" s="73"/>
      <c r="M35" s="73"/>
      <c r="N35" s="165">
        <f t="shared" si="4"/>
        <v>0</v>
      </c>
    </row>
    <row r="36" spans="1:14" ht="16.5" thickBot="1">
      <c r="A36" s="5">
        <v>26</v>
      </c>
      <c r="B36" s="20" t="s">
        <v>45</v>
      </c>
      <c r="C36" s="87">
        <f>C17+C23+C24+C25+C26+C27+C28+C31+C32+C33+C34+C35</f>
        <v>180801</v>
      </c>
      <c r="D36" s="87">
        <f>D17+D23+D24+D25+D26+D27+D28+D31+D32+D33+D34+D35</f>
        <v>1367</v>
      </c>
      <c r="E36" s="168">
        <f t="shared" si="1"/>
        <v>182168</v>
      </c>
      <c r="F36" s="87">
        <f>F17+F23+F24+F25+F26+F27+F28+F31+F32+F33+F34+F35</f>
        <v>72103</v>
      </c>
      <c r="G36" s="87">
        <f>G17+G23+G24+G25+G26+G27+G28+G31+G32+G33+G34+G35</f>
        <v>1600</v>
      </c>
      <c r="H36" s="168">
        <f t="shared" si="2"/>
        <v>73703</v>
      </c>
      <c r="I36" s="135">
        <f>I17+I23+I24+I25+I26+I27+I28+I31+I32+I33+I34+I35</f>
        <v>91389</v>
      </c>
      <c r="J36" s="135">
        <f>J17+J23+J24+J25+J26+J27+J28+J31+J32+J33+J34+J35</f>
        <v>16</v>
      </c>
      <c r="K36" s="186">
        <f t="shared" si="3"/>
        <v>91405</v>
      </c>
      <c r="L36" s="87">
        <f>L17+L23+L24+L25+L26+L27+L28+L31+L32+L33+L34+L35</f>
        <v>18902</v>
      </c>
      <c r="M36" s="87">
        <f>M17+M23+M24+M25+M26+M27+M28+M31+M32+M33+M34+M35</f>
        <v>0</v>
      </c>
      <c r="N36" s="168">
        <f t="shared" si="4"/>
        <v>18902</v>
      </c>
    </row>
    <row r="37" spans="1:14" ht="15.75">
      <c r="A37" s="7">
        <v>27</v>
      </c>
      <c r="B37" s="30" t="s">
        <v>46</v>
      </c>
      <c r="C37" s="98"/>
      <c r="D37" s="98"/>
      <c r="E37" s="169">
        <f t="shared" si="1"/>
        <v>0</v>
      </c>
      <c r="F37" s="98"/>
      <c r="G37" s="98"/>
      <c r="H37" s="169">
        <f t="shared" si="2"/>
        <v>0</v>
      </c>
      <c r="I37" s="141"/>
      <c r="J37" s="141"/>
      <c r="K37" s="183">
        <f t="shared" si="3"/>
        <v>0</v>
      </c>
      <c r="L37" s="98"/>
      <c r="M37" s="98"/>
      <c r="N37" s="169">
        <f t="shared" si="4"/>
        <v>0</v>
      </c>
    </row>
    <row r="38" spans="1:14" ht="15.75">
      <c r="A38" s="6">
        <v>28</v>
      </c>
      <c r="B38" s="13" t="s">
        <v>26</v>
      </c>
      <c r="C38" s="90"/>
      <c r="D38" s="90"/>
      <c r="E38" s="165">
        <f t="shared" si="1"/>
        <v>0</v>
      </c>
      <c r="F38" s="90"/>
      <c r="G38" s="90"/>
      <c r="H38" s="165">
        <f t="shared" si="2"/>
        <v>0</v>
      </c>
      <c r="I38" s="142"/>
      <c r="J38" s="142"/>
      <c r="K38" s="190">
        <f t="shared" si="3"/>
        <v>0</v>
      </c>
      <c r="L38" s="90"/>
      <c r="M38" s="90"/>
      <c r="N38" s="165">
        <f t="shared" si="4"/>
        <v>0</v>
      </c>
    </row>
    <row r="39" spans="1:14" ht="16.5" thickBot="1">
      <c r="A39" s="3">
        <v>29</v>
      </c>
      <c r="B39" s="24" t="s">
        <v>27</v>
      </c>
      <c r="C39" s="95"/>
      <c r="D39" s="95"/>
      <c r="E39" s="167">
        <f t="shared" si="1"/>
        <v>0</v>
      </c>
      <c r="F39" s="95"/>
      <c r="G39" s="95"/>
      <c r="H39" s="167">
        <f t="shared" si="2"/>
        <v>0</v>
      </c>
      <c r="I39" s="140"/>
      <c r="J39" s="140"/>
      <c r="K39" s="185">
        <f t="shared" si="3"/>
        <v>0</v>
      </c>
      <c r="L39" s="95"/>
      <c r="M39" s="95"/>
      <c r="N39" s="167">
        <f t="shared" si="4"/>
        <v>0</v>
      </c>
    </row>
    <row r="40" spans="1:14" ht="16.5" thickBot="1">
      <c r="A40" s="5">
        <v>30</v>
      </c>
      <c r="B40" s="20" t="s">
        <v>47</v>
      </c>
      <c r="C40" s="87">
        <f>SUM(C37:C39)</f>
        <v>0</v>
      </c>
      <c r="D40" s="87">
        <f>SUM(D37:D39)</f>
        <v>0</v>
      </c>
      <c r="E40" s="170">
        <f t="shared" si="1"/>
        <v>0</v>
      </c>
      <c r="F40" s="87">
        <f>SUM(F37:F39)</f>
        <v>0</v>
      </c>
      <c r="G40" s="87">
        <f>SUM(G37:G39)</f>
        <v>0</v>
      </c>
      <c r="H40" s="170">
        <f t="shared" si="2"/>
        <v>0</v>
      </c>
      <c r="I40" s="143">
        <f>SUM(I37:I39)</f>
        <v>0</v>
      </c>
      <c r="J40" s="143">
        <f>SUM(J37:J39)</f>
        <v>0</v>
      </c>
      <c r="K40" s="191">
        <f t="shared" si="3"/>
        <v>0</v>
      </c>
      <c r="L40" s="87">
        <f>SUM(L37:L39)</f>
        <v>0</v>
      </c>
      <c r="M40" s="87">
        <f>SUM(M37:M39)</f>
        <v>0</v>
      </c>
      <c r="N40" s="170">
        <f t="shared" si="4"/>
        <v>0</v>
      </c>
    </row>
    <row r="41" spans="1:14" ht="16.5" thickBot="1">
      <c r="A41" s="225" t="s">
        <v>48</v>
      </c>
      <c r="B41" s="226"/>
      <c r="C41" s="102">
        <f>C36+C40</f>
        <v>180801</v>
      </c>
      <c r="D41" s="102">
        <f>D36+D40</f>
        <v>1367</v>
      </c>
      <c r="E41" s="171">
        <f t="shared" si="1"/>
        <v>182168</v>
      </c>
      <c r="F41" s="102">
        <f>F36+F40</f>
        <v>72103</v>
      </c>
      <c r="G41" s="102">
        <f>G36+G40</f>
        <v>1600</v>
      </c>
      <c r="H41" s="171">
        <f t="shared" si="2"/>
        <v>73703</v>
      </c>
      <c r="I41" s="144">
        <f>I36+I40</f>
        <v>91389</v>
      </c>
      <c r="J41" s="144">
        <f>J36+J40</f>
        <v>16</v>
      </c>
      <c r="K41" s="192">
        <f t="shared" si="3"/>
        <v>91405</v>
      </c>
      <c r="L41" s="102">
        <f>L36+L40</f>
        <v>18902</v>
      </c>
      <c r="M41" s="102">
        <f>M36+M40</f>
        <v>0</v>
      </c>
      <c r="N41" s="171">
        <f t="shared" si="4"/>
        <v>18902</v>
      </c>
    </row>
    <row r="42" spans="1:14" ht="17.25" thickTop="1" thickBot="1">
      <c r="A42" s="227" t="s">
        <v>28</v>
      </c>
      <c r="B42" s="228"/>
      <c r="C42" s="105"/>
      <c r="D42" s="105"/>
      <c r="E42" s="170"/>
      <c r="F42" s="105"/>
      <c r="G42" s="105"/>
      <c r="H42" s="170"/>
      <c r="I42" s="145"/>
      <c r="J42" s="145"/>
      <c r="K42" s="193"/>
      <c r="L42" s="105"/>
      <c r="M42" s="105"/>
      <c r="N42" s="170"/>
    </row>
    <row r="43" spans="1:14" ht="31.5">
      <c r="A43" s="6">
        <v>31</v>
      </c>
      <c r="B43" s="12" t="s">
        <v>29</v>
      </c>
      <c r="C43" s="90">
        <v>11766</v>
      </c>
      <c r="D43" s="90"/>
      <c r="E43" s="165">
        <f t="shared" si="1"/>
        <v>11766</v>
      </c>
      <c r="F43" s="90"/>
      <c r="G43" s="90"/>
      <c r="H43" s="165">
        <f t="shared" si="2"/>
        <v>0</v>
      </c>
      <c r="I43" s="132"/>
      <c r="J43" s="132"/>
      <c r="K43" s="183">
        <f t="shared" si="3"/>
        <v>0</v>
      </c>
      <c r="L43" s="90"/>
      <c r="M43" s="90"/>
      <c r="N43" s="172">
        <f t="shared" si="4"/>
        <v>0</v>
      </c>
    </row>
    <row r="44" spans="1:14" ht="15.75">
      <c r="A44" s="6">
        <v>32</v>
      </c>
      <c r="B44" s="13" t="s">
        <v>30</v>
      </c>
      <c r="C44" s="73"/>
      <c r="D44" s="73"/>
      <c r="E44" s="166">
        <f t="shared" si="1"/>
        <v>0</v>
      </c>
      <c r="F44" s="73"/>
      <c r="G44" s="73"/>
      <c r="H44" s="166">
        <f t="shared" si="2"/>
        <v>0</v>
      </c>
      <c r="I44" s="133"/>
      <c r="J44" s="133"/>
      <c r="K44" s="184">
        <f t="shared" si="3"/>
        <v>0</v>
      </c>
      <c r="L44" s="73"/>
      <c r="M44" s="73"/>
      <c r="N44" s="172">
        <f t="shared" si="4"/>
        <v>0</v>
      </c>
    </row>
    <row r="45" spans="1:14" ht="31.5">
      <c r="A45" s="6">
        <v>33</v>
      </c>
      <c r="B45" s="14" t="s">
        <v>31</v>
      </c>
      <c r="C45" s="73"/>
      <c r="D45" s="73"/>
      <c r="E45" s="166">
        <f t="shared" si="1"/>
        <v>0</v>
      </c>
      <c r="F45" s="73"/>
      <c r="G45" s="73"/>
      <c r="H45" s="166">
        <f t="shared" si="2"/>
        <v>0</v>
      </c>
      <c r="I45" s="133"/>
      <c r="J45" s="133"/>
      <c r="K45" s="184">
        <f t="shared" si="3"/>
        <v>0</v>
      </c>
      <c r="L45" s="73"/>
      <c r="M45" s="73"/>
      <c r="N45" s="172">
        <f t="shared" si="4"/>
        <v>0</v>
      </c>
    </row>
    <row r="46" spans="1:14" ht="15.75">
      <c r="A46" s="6">
        <v>34</v>
      </c>
      <c r="B46" s="15" t="s">
        <v>32</v>
      </c>
      <c r="C46" s="73">
        <f>157710+10922+403</f>
        <v>169035</v>
      </c>
      <c r="D46" s="73">
        <v>1367</v>
      </c>
      <c r="E46" s="166">
        <f t="shared" si="1"/>
        <v>170402</v>
      </c>
      <c r="F46" s="73">
        <f>59306+2511+276</f>
        <v>62093</v>
      </c>
      <c r="G46" s="73"/>
      <c r="H46" s="166">
        <f t="shared" si="2"/>
        <v>62093</v>
      </c>
      <c r="I46" s="133">
        <f>74712+3755+475</f>
        <v>78942</v>
      </c>
      <c r="J46" s="133"/>
      <c r="K46" s="184">
        <f t="shared" si="3"/>
        <v>78942</v>
      </c>
      <c r="L46" s="73">
        <f>14277+4400+225</f>
        <v>18902</v>
      </c>
      <c r="M46" s="73"/>
      <c r="N46" s="172">
        <f t="shared" si="4"/>
        <v>18902</v>
      </c>
    </row>
    <row r="47" spans="1:14" ht="15.75">
      <c r="A47" s="6">
        <v>35</v>
      </c>
      <c r="B47" s="15" t="s">
        <v>33</v>
      </c>
      <c r="C47" s="73"/>
      <c r="D47" s="73"/>
      <c r="E47" s="166">
        <f t="shared" si="1"/>
        <v>0</v>
      </c>
      <c r="F47" s="73"/>
      <c r="G47" s="73"/>
      <c r="H47" s="166">
        <f t="shared" si="2"/>
        <v>0</v>
      </c>
      <c r="I47" s="133"/>
      <c r="J47" s="133"/>
      <c r="K47" s="184">
        <f t="shared" si="3"/>
        <v>0</v>
      </c>
      <c r="L47" s="73"/>
      <c r="M47" s="73"/>
      <c r="N47" s="172">
        <f t="shared" si="4"/>
        <v>0</v>
      </c>
    </row>
    <row r="48" spans="1:14" ht="15.75">
      <c r="A48" s="6">
        <v>36</v>
      </c>
      <c r="B48" s="15" t="s">
        <v>34</v>
      </c>
      <c r="C48" s="73"/>
      <c r="D48" s="73"/>
      <c r="E48" s="166">
        <f t="shared" si="1"/>
        <v>0</v>
      </c>
      <c r="F48" s="73"/>
      <c r="G48" s="73"/>
      <c r="H48" s="166">
        <f t="shared" si="2"/>
        <v>0</v>
      </c>
      <c r="I48" s="133"/>
      <c r="J48" s="133"/>
      <c r="K48" s="184">
        <f t="shared" si="3"/>
        <v>0</v>
      </c>
      <c r="L48" s="73"/>
      <c r="M48" s="73"/>
      <c r="N48" s="172">
        <f t="shared" si="4"/>
        <v>0</v>
      </c>
    </row>
    <row r="49" spans="1:14" ht="15.75">
      <c r="A49" s="6">
        <v>37</v>
      </c>
      <c r="B49" s="15" t="s">
        <v>35</v>
      </c>
      <c r="C49" s="73"/>
      <c r="D49" s="73"/>
      <c r="E49" s="166">
        <f t="shared" si="1"/>
        <v>0</v>
      </c>
      <c r="F49" s="73">
        <v>2250</v>
      </c>
      <c r="G49" s="73">
        <v>1600</v>
      </c>
      <c r="H49" s="166">
        <f t="shared" si="2"/>
        <v>3850</v>
      </c>
      <c r="I49" s="133"/>
      <c r="J49" s="133">
        <v>16</v>
      </c>
      <c r="K49" s="184">
        <f t="shared" si="3"/>
        <v>16</v>
      </c>
      <c r="L49" s="73"/>
      <c r="M49" s="73"/>
      <c r="N49" s="172">
        <f t="shared" si="4"/>
        <v>0</v>
      </c>
    </row>
    <row r="50" spans="1:14" ht="15.75">
      <c r="A50" s="4">
        <v>38</v>
      </c>
      <c r="B50" s="16" t="s">
        <v>36</v>
      </c>
      <c r="C50" s="84"/>
      <c r="D50" s="84"/>
      <c r="E50" s="180">
        <f t="shared" si="1"/>
        <v>0</v>
      </c>
      <c r="F50" s="84"/>
      <c r="G50" s="84"/>
      <c r="H50" s="180">
        <f t="shared" si="2"/>
        <v>0</v>
      </c>
      <c r="I50" s="137"/>
      <c r="J50" s="137"/>
      <c r="K50" s="194">
        <f t="shared" si="3"/>
        <v>0</v>
      </c>
      <c r="L50" s="84"/>
      <c r="M50" s="84"/>
      <c r="N50" s="173">
        <f t="shared" si="4"/>
        <v>0</v>
      </c>
    </row>
    <row r="51" spans="1:14" ht="15.75">
      <c r="A51" s="6">
        <v>39</v>
      </c>
      <c r="B51" s="15" t="s">
        <v>37</v>
      </c>
      <c r="C51" s="73"/>
      <c r="D51" s="73"/>
      <c r="E51" s="166">
        <f t="shared" si="1"/>
        <v>0</v>
      </c>
      <c r="F51" s="73"/>
      <c r="G51" s="73"/>
      <c r="H51" s="166">
        <f t="shared" si="2"/>
        <v>0</v>
      </c>
      <c r="I51" s="133"/>
      <c r="J51" s="133"/>
      <c r="K51" s="184">
        <f t="shared" si="3"/>
        <v>0</v>
      </c>
      <c r="L51" s="73"/>
      <c r="M51" s="73"/>
      <c r="N51" s="172">
        <f t="shared" si="4"/>
        <v>0</v>
      </c>
    </row>
    <row r="52" spans="1:14" ht="15.75">
      <c r="A52" s="6">
        <v>40</v>
      </c>
      <c r="B52" s="17" t="s">
        <v>38</v>
      </c>
      <c r="C52" s="73"/>
      <c r="D52" s="73"/>
      <c r="E52" s="166">
        <f t="shared" si="1"/>
        <v>0</v>
      </c>
      <c r="F52" s="73"/>
      <c r="G52" s="73"/>
      <c r="H52" s="166">
        <f t="shared" si="2"/>
        <v>0</v>
      </c>
      <c r="I52" s="133"/>
      <c r="J52" s="133"/>
      <c r="K52" s="184">
        <f t="shared" si="3"/>
        <v>0</v>
      </c>
      <c r="L52" s="73"/>
      <c r="M52" s="73"/>
      <c r="N52" s="172">
        <f t="shared" si="4"/>
        <v>0</v>
      </c>
    </row>
    <row r="53" spans="1:14" ht="16.5" thickBot="1">
      <c r="A53" s="1">
        <v>41</v>
      </c>
      <c r="B53" s="18" t="s">
        <v>39</v>
      </c>
      <c r="C53" s="79"/>
      <c r="D53" s="79"/>
      <c r="E53" s="181">
        <f t="shared" si="1"/>
        <v>0</v>
      </c>
      <c r="F53" s="79"/>
      <c r="G53" s="79"/>
      <c r="H53" s="181">
        <f t="shared" si="2"/>
        <v>0</v>
      </c>
      <c r="I53" s="146"/>
      <c r="J53" s="146"/>
      <c r="K53" s="185">
        <f t="shared" si="3"/>
        <v>0</v>
      </c>
      <c r="L53" s="79"/>
      <c r="M53" s="79"/>
      <c r="N53" s="174">
        <f t="shared" si="4"/>
        <v>0</v>
      </c>
    </row>
    <row r="54" spans="1:14" ht="16.5" thickBot="1">
      <c r="A54" s="5">
        <v>42</v>
      </c>
      <c r="B54" s="19" t="s">
        <v>49</v>
      </c>
      <c r="C54" s="87">
        <f>C46+C47+C48+C49+C51+C52+C53</f>
        <v>169035</v>
      </c>
      <c r="D54" s="87">
        <f>D46+D47+D48+D49+D51+D52+D53</f>
        <v>1367</v>
      </c>
      <c r="E54" s="168">
        <f t="shared" si="1"/>
        <v>170402</v>
      </c>
      <c r="F54" s="87">
        <f>F46+F47+F48+F49+F51+F52+F53</f>
        <v>64343</v>
      </c>
      <c r="G54" s="87">
        <f>G46+G47+G48+G49+G51+G52+G53</f>
        <v>1600</v>
      </c>
      <c r="H54" s="168">
        <f t="shared" si="2"/>
        <v>65943</v>
      </c>
      <c r="I54" s="147">
        <f>I46+I47+I48+I49+I51+I52+I53</f>
        <v>78942</v>
      </c>
      <c r="J54" s="147">
        <f>J46+J47+J48+J49+J51+J52+J53</f>
        <v>16</v>
      </c>
      <c r="K54" s="195">
        <f t="shared" si="3"/>
        <v>78958</v>
      </c>
      <c r="L54" s="87">
        <f>L46+L47+L48+L49+L51+L52+L53</f>
        <v>18902</v>
      </c>
      <c r="M54" s="87">
        <f>M46+M47+M48+M49+M51+M52+M53</f>
        <v>0</v>
      </c>
      <c r="N54" s="168">
        <f t="shared" si="4"/>
        <v>18902</v>
      </c>
    </row>
    <row r="55" spans="1:14" ht="16.5" thickBot="1">
      <c r="A55" s="6">
        <v>43</v>
      </c>
      <c r="B55" s="13" t="s">
        <v>40</v>
      </c>
      <c r="C55" s="90"/>
      <c r="D55" s="90"/>
      <c r="E55" s="165">
        <f t="shared" si="1"/>
        <v>0</v>
      </c>
      <c r="F55" s="90"/>
      <c r="G55" s="90"/>
      <c r="H55" s="165">
        <f t="shared" si="2"/>
        <v>0</v>
      </c>
      <c r="I55" s="132"/>
      <c r="J55" s="132"/>
      <c r="K55" s="183">
        <f t="shared" si="3"/>
        <v>0</v>
      </c>
      <c r="L55" s="90"/>
      <c r="M55" s="90"/>
      <c r="N55" s="165">
        <f t="shared" si="4"/>
        <v>0</v>
      </c>
    </row>
    <row r="56" spans="1:14" s="115" customFormat="1" ht="16.5" thickBot="1">
      <c r="A56" s="5">
        <v>44</v>
      </c>
      <c r="B56" s="20" t="s">
        <v>76</v>
      </c>
      <c r="C56" s="113">
        <f>C43+C44+C45+C54+C55</f>
        <v>180801</v>
      </c>
      <c r="D56" s="113">
        <f>D43+D44+D45+D54+D55</f>
        <v>1367</v>
      </c>
      <c r="E56" s="175">
        <f t="shared" si="1"/>
        <v>182168</v>
      </c>
      <c r="F56" s="113">
        <f>F43+F44+F45+F54+F55</f>
        <v>64343</v>
      </c>
      <c r="G56" s="113">
        <f>G43+G44+G45+G54+G55</f>
        <v>1600</v>
      </c>
      <c r="H56" s="175">
        <f t="shared" si="2"/>
        <v>65943</v>
      </c>
      <c r="I56" s="148">
        <f>I43+I44+I45+I54+I55</f>
        <v>78942</v>
      </c>
      <c r="J56" s="148">
        <f>J43+J44+J45+J54+J55</f>
        <v>16</v>
      </c>
      <c r="K56" s="196">
        <f t="shared" si="3"/>
        <v>78958</v>
      </c>
      <c r="L56" s="113">
        <f>L43+L44+L45+L54+L55</f>
        <v>18902</v>
      </c>
      <c r="M56" s="113">
        <f>M43+M44+M45+M54+M55</f>
        <v>0</v>
      </c>
      <c r="N56" s="175">
        <f t="shared" si="4"/>
        <v>18902</v>
      </c>
    </row>
    <row r="57" spans="1:14" s="115" customFormat="1" ht="15.75">
      <c r="A57" s="212">
        <v>45</v>
      </c>
      <c r="B57" s="213" t="s">
        <v>113</v>
      </c>
      <c r="C57" s="113"/>
      <c r="D57" s="113"/>
      <c r="E57" s="175">
        <f t="shared" si="1"/>
        <v>0</v>
      </c>
      <c r="F57" s="113">
        <v>7760</v>
      </c>
      <c r="G57" s="113"/>
      <c r="H57" s="175">
        <f t="shared" si="2"/>
        <v>7760</v>
      </c>
      <c r="I57" s="148">
        <v>12447</v>
      </c>
      <c r="J57" s="148"/>
      <c r="K57" s="196">
        <f t="shared" si="3"/>
        <v>12447</v>
      </c>
      <c r="L57" s="113"/>
      <c r="M57" s="113"/>
      <c r="N57" s="175">
        <f t="shared" si="4"/>
        <v>0</v>
      </c>
    </row>
    <row r="58" spans="1:14" s="115" customFormat="1" ht="15.75">
      <c r="A58" s="6">
        <v>46</v>
      </c>
      <c r="B58" s="13" t="s">
        <v>44</v>
      </c>
      <c r="C58" s="113"/>
      <c r="D58" s="113"/>
      <c r="E58" s="175">
        <f t="shared" si="1"/>
        <v>0</v>
      </c>
      <c r="F58" s="113"/>
      <c r="G58" s="113"/>
      <c r="H58" s="175">
        <f t="shared" si="2"/>
        <v>0</v>
      </c>
      <c r="I58" s="133"/>
      <c r="J58" s="133"/>
      <c r="K58" s="184">
        <f t="shared" si="3"/>
        <v>0</v>
      </c>
      <c r="L58" s="113"/>
      <c r="M58" s="113"/>
      <c r="N58" s="175">
        <f t="shared" si="4"/>
        <v>0</v>
      </c>
    </row>
    <row r="59" spans="1:14" ht="15.75">
      <c r="A59" s="6">
        <v>47</v>
      </c>
      <c r="B59" s="15" t="s">
        <v>41</v>
      </c>
      <c r="C59" s="73"/>
      <c r="D59" s="73"/>
      <c r="E59" s="166">
        <f t="shared" si="1"/>
        <v>0</v>
      </c>
      <c r="F59" s="73"/>
      <c r="G59" s="73"/>
      <c r="H59" s="166">
        <f t="shared" si="2"/>
        <v>0</v>
      </c>
      <c r="I59" s="133"/>
      <c r="J59" s="133"/>
      <c r="K59" s="184">
        <f t="shared" si="3"/>
        <v>0</v>
      </c>
      <c r="L59" s="73"/>
      <c r="M59" s="73"/>
      <c r="N59" s="166">
        <f t="shared" si="4"/>
        <v>0</v>
      </c>
    </row>
    <row r="60" spans="1:14" ht="16.5" thickBot="1">
      <c r="A60" s="6">
        <v>48</v>
      </c>
      <c r="B60" s="15" t="s">
        <v>42</v>
      </c>
      <c r="C60" s="73"/>
      <c r="D60" s="73"/>
      <c r="E60" s="166">
        <f t="shared" si="1"/>
        <v>0</v>
      </c>
      <c r="F60" s="73"/>
      <c r="G60" s="73"/>
      <c r="H60" s="166">
        <f t="shared" si="2"/>
        <v>0</v>
      </c>
      <c r="I60" s="133"/>
      <c r="J60" s="133"/>
      <c r="K60" s="184">
        <f t="shared" si="3"/>
        <v>0</v>
      </c>
      <c r="L60" s="73"/>
      <c r="M60" s="73"/>
      <c r="N60" s="166">
        <f t="shared" si="4"/>
        <v>0</v>
      </c>
    </row>
    <row r="61" spans="1:14" ht="16.5" thickBot="1">
      <c r="A61" s="5">
        <v>49</v>
      </c>
      <c r="B61" s="20" t="s">
        <v>50</v>
      </c>
      <c r="C61" s="117">
        <f>SUM(C58:C60)</f>
        <v>0</v>
      </c>
      <c r="D61" s="117">
        <f>SUM(D58:D60)</f>
        <v>0</v>
      </c>
      <c r="E61" s="176">
        <f t="shared" si="1"/>
        <v>0</v>
      </c>
      <c r="F61" s="117">
        <f>SUM(F58:F60)</f>
        <v>0</v>
      </c>
      <c r="G61" s="117">
        <f>SUM(G58:G60)</f>
        <v>0</v>
      </c>
      <c r="H61" s="176">
        <f t="shared" si="2"/>
        <v>0</v>
      </c>
      <c r="I61" s="149">
        <f>SUM(I58:I60)</f>
        <v>0</v>
      </c>
      <c r="J61" s="149">
        <f>SUM(J58:J60)</f>
        <v>0</v>
      </c>
      <c r="K61" s="197">
        <f t="shared" si="3"/>
        <v>0</v>
      </c>
      <c r="L61" s="117">
        <f>SUM(L58:L60)</f>
        <v>0</v>
      </c>
      <c r="M61" s="117">
        <f>SUM(M58:M60)</f>
        <v>0</v>
      </c>
      <c r="N61" s="176">
        <f t="shared" si="4"/>
        <v>0</v>
      </c>
    </row>
    <row r="62" spans="1:14" ht="16.5" thickBot="1">
      <c r="A62" s="229" t="s">
        <v>77</v>
      </c>
      <c r="B62" s="230"/>
      <c r="C62" s="120">
        <f>C56+C61</f>
        <v>180801</v>
      </c>
      <c r="D62" s="120">
        <f>D56+D61</f>
        <v>1367</v>
      </c>
      <c r="E62" s="177">
        <f t="shared" si="1"/>
        <v>182168</v>
      </c>
      <c r="F62" s="120">
        <f>F56+F61+F57</f>
        <v>72103</v>
      </c>
      <c r="G62" s="120">
        <f>G56+G61+G57</f>
        <v>1600</v>
      </c>
      <c r="H62" s="182">
        <f t="shared" si="2"/>
        <v>73703</v>
      </c>
      <c r="I62" s="150">
        <f>I56+I61+I57</f>
        <v>91389</v>
      </c>
      <c r="J62" s="150">
        <f>J56+J61+J57</f>
        <v>16</v>
      </c>
      <c r="K62" s="198">
        <f t="shared" si="3"/>
        <v>91405</v>
      </c>
      <c r="L62" s="120">
        <f>L56+L61</f>
        <v>18902</v>
      </c>
      <c r="M62" s="120">
        <f>M56+M61</f>
        <v>0</v>
      </c>
      <c r="N62" s="177">
        <f t="shared" si="4"/>
        <v>18902</v>
      </c>
    </row>
    <row r="63" spans="1:14" ht="17.25" thickTop="1" thickBot="1">
      <c r="A63" s="215"/>
      <c r="B63" s="216"/>
      <c r="C63" s="69"/>
      <c r="D63" s="69"/>
      <c r="E63" s="178"/>
      <c r="F63" s="69"/>
      <c r="G63" s="69"/>
      <c r="H63" s="178"/>
      <c r="I63" s="151"/>
      <c r="J63" s="151"/>
      <c r="K63" s="193"/>
      <c r="L63" s="69"/>
      <c r="M63" s="69"/>
      <c r="N63" s="178"/>
    </row>
    <row r="64" spans="1:14" ht="16.5" thickBot="1">
      <c r="A64" s="9">
        <v>50</v>
      </c>
      <c r="B64" s="11" t="s">
        <v>43</v>
      </c>
      <c r="C64" s="203">
        <v>79.25</v>
      </c>
      <c r="D64" s="203"/>
      <c r="E64" s="204">
        <f t="shared" si="1"/>
        <v>79.25</v>
      </c>
      <c r="F64" s="203">
        <v>19.75</v>
      </c>
      <c r="G64" s="203"/>
      <c r="H64" s="204">
        <f t="shared" si="2"/>
        <v>19.75</v>
      </c>
      <c r="I64" s="207">
        <v>25</v>
      </c>
      <c r="J64" s="207"/>
      <c r="K64" s="208">
        <f t="shared" si="3"/>
        <v>25</v>
      </c>
      <c r="L64" s="203">
        <v>3</v>
      </c>
      <c r="M64" s="203"/>
      <c r="N64" s="204">
        <f t="shared" si="4"/>
        <v>3</v>
      </c>
    </row>
    <row r="65" spans="1:14" ht="14.25">
      <c r="A65" s="125"/>
      <c r="B65" s="125"/>
      <c r="C65" s="125"/>
      <c r="D65" s="126"/>
      <c r="E65" s="127"/>
      <c r="F65" s="125"/>
      <c r="G65" s="126"/>
      <c r="H65" s="127"/>
      <c r="I65" s="125"/>
      <c r="J65" s="126"/>
      <c r="K65" s="127"/>
      <c r="L65" s="125"/>
      <c r="M65" s="126"/>
      <c r="N65" s="127"/>
    </row>
    <row r="66" spans="1:14" ht="18">
      <c r="A66" s="128"/>
      <c r="B66" s="128"/>
      <c r="C66" s="128"/>
      <c r="D66" s="129"/>
      <c r="E66" s="130"/>
      <c r="F66" s="128"/>
      <c r="G66" s="129"/>
      <c r="H66" s="130"/>
      <c r="I66" s="128"/>
      <c r="J66" s="129"/>
      <c r="K66" s="130"/>
      <c r="L66" s="128"/>
      <c r="M66" s="129"/>
      <c r="N66" s="130"/>
    </row>
    <row r="67" spans="1:14">
      <c r="A67" s="58"/>
      <c r="B67" s="131"/>
    </row>
    <row r="68" spans="1:14">
      <c r="A68" s="58"/>
      <c r="B68" s="131"/>
    </row>
    <row r="69" spans="1:14">
      <c r="A69" s="58"/>
      <c r="B69" s="131"/>
    </row>
    <row r="70" spans="1:14">
      <c r="A70" s="58"/>
      <c r="B70" s="131"/>
    </row>
    <row r="71" spans="1:14">
      <c r="A71" s="58"/>
      <c r="B71" s="131"/>
    </row>
    <row r="72" spans="1:14">
      <c r="A72" s="58"/>
      <c r="B72" s="131"/>
    </row>
    <row r="73" spans="1:14">
      <c r="A73" s="58"/>
      <c r="B73" s="131"/>
    </row>
    <row r="74" spans="1:14">
      <c r="A74" s="58"/>
      <c r="B74" s="131"/>
    </row>
    <row r="75" spans="1:14">
      <c r="A75" s="58"/>
      <c r="B75" s="131"/>
    </row>
    <row r="76" spans="1:14">
      <c r="A76" s="58"/>
      <c r="B76" s="131"/>
    </row>
    <row r="77" spans="1:14">
      <c r="A77" s="58"/>
      <c r="B77" s="131"/>
    </row>
    <row r="78" spans="1:14">
      <c r="A78" s="58"/>
      <c r="B78" s="131"/>
    </row>
    <row r="79" spans="1:14">
      <c r="A79" s="58"/>
      <c r="B79" s="131"/>
    </row>
    <row r="80" spans="1:14">
      <c r="A80" s="58"/>
      <c r="B80" s="131"/>
    </row>
    <row r="81" spans="1:2">
      <c r="A81" s="58"/>
      <c r="B81" s="131"/>
    </row>
    <row r="82" spans="1:2">
      <c r="A82" s="58"/>
      <c r="B82" s="131"/>
    </row>
    <row r="83" spans="1:2">
      <c r="A83" s="58"/>
      <c r="B83" s="131"/>
    </row>
    <row r="84" spans="1:2">
      <c r="A84" s="58"/>
      <c r="B84" s="131"/>
    </row>
    <row r="85" spans="1:2">
      <c r="A85" s="58"/>
      <c r="B85" s="131"/>
    </row>
    <row r="86" spans="1:2">
      <c r="A86" s="58"/>
      <c r="B86" s="131"/>
    </row>
    <row r="87" spans="1:2">
      <c r="A87" s="58"/>
      <c r="B87" s="131"/>
    </row>
    <row r="88" spans="1:2">
      <c r="A88" s="58"/>
      <c r="B88" s="131"/>
    </row>
    <row r="89" spans="1:2">
      <c r="A89" s="58"/>
      <c r="B89" s="131"/>
    </row>
    <row r="90" spans="1:2">
      <c r="A90" s="58"/>
      <c r="B90" s="131"/>
    </row>
    <row r="91" spans="1:2">
      <c r="A91" s="58"/>
      <c r="B91" s="131"/>
    </row>
    <row r="92" spans="1:2">
      <c r="A92" s="58"/>
      <c r="B92" s="131"/>
    </row>
    <row r="93" spans="1:2">
      <c r="A93" s="58"/>
      <c r="B93" s="131"/>
    </row>
    <row r="94" spans="1:2">
      <c r="A94" s="58"/>
      <c r="B94" s="131"/>
    </row>
    <row r="95" spans="1:2">
      <c r="A95" s="58"/>
      <c r="B95" s="131"/>
    </row>
    <row r="96" spans="1:2">
      <c r="A96" s="58"/>
      <c r="B96" s="131"/>
    </row>
    <row r="97" spans="1:2">
      <c r="A97" s="58"/>
      <c r="B97" s="131"/>
    </row>
    <row r="98" spans="1:2">
      <c r="A98" s="58"/>
      <c r="B98" s="131"/>
    </row>
    <row r="99" spans="1:2">
      <c r="A99" s="58"/>
      <c r="B99" s="131"/>
    </row>
    <row r="100" spans="1:2">
      <c r="A100" s="58"/>
      <c r="B100" s="131"/>
    </row>
    <row r="101" spans="1:2">
      <c r="A101" s="58"/>
      <c r="B101" s="131"/>
    </row>
    <row r="102" spans="1:2">
      <c r="A102" s="58"/>
      <c r="B102" s="131"/>
    </row>
    <row r="103" spans="1:2">
      <c r="A103" s="58"/>
      <c r="B103" s="131"/>
    </row>
    <row r="104" spans="1:2">
      <c r="A104" s="58"/>
      <c r="B104" s="131"/>
    </row>
    <row r="105" spans="1:2">
      <c r="A105" s="58"/>
      <c r="B105" s="131"/>
    </row>
    <row r="106" spans="1:2">
      <c r="A106" s="58"/>
      <c r="B106" s="131"/>
    </row>
    <row r="107" spans="1:2">
      <c r="A107" s="58"/>
      <c r="B107" s="131"/>
    </row>
    <row r="108" spans="1:2">
      <c r="A108" s="58"/>
      <c r="B108" s="131"/>
    </row>
    <row r="109" spans="1:2">
      <c r="A109" s="58"/>
      <c r="B109" s="131"/>
    </row>
    <row r="110" spans="1:2">
      <c r="A110" s="58"/>
      <c r="B110" s="131"/>
    </row>
    <row r="111" spans="1:2">
      <c r="A111" s="58"/>
      <c r="B111" s="131"/>
    </row>
    <row r="112" spans="1:2">
      <c r="A112" s="58"/>
      <c r="B112" s="131"/>
    </row>
    <row r="113" spans="1:2">
      <c r="A113" s="58"/>
      <c r="B113" s="131"/>
    </row>
    <row r="114" spans="1:2">
      <c r="A114" s="58"/>
      <c r="B114" s="131"/>
    </row>
    <row r="115" spans="1:2">
      <c r="A115" s="58"/>
      <c r="B115" s="131"/>
    </row>
    <row r="116" spans="1:2">
      <c r="A116" s="58"/>
      <c r="B116" s="131"/>
    </row>
    <row r="117" spans="1:2">
      <c r="A117" s="58"/>
      <c r="B117" s="131"/>
    </row>
    <row r="118" spans="1:2">
      <c r="A118" s="58"/>
      <c r="B118" s="131"/>
    </row>
    <row r="119" spans="1:2">
      <c r="A119" s="58"/>
      <c r="B119" s="131"/>
    </row>
    <row r="120" spans="1:2">
      <c r="A120" s="58"/>
      <c r="B120" s="131"/>
    </row>
    <row r="121" spans="1:2">
      <c r="A121" s="58"/>
      <c r="B121" s="131"/>
    </row>
    <row r="122" spans="1:2">
      <c r="A122" s="58"/>
      <c r="B122" s="131"/>
    </row>
    <row r="123" spans="1:2">
      <c r="A123" s="58"/>
      <c r="B123" s="131"/>
    </row>
    <row r="124" spans="1:2">
      <c r="A124" s="58"/>
      <c r="B124" s="131"/>
    </row>
    <row r="125" spans="1:2">
      <c r="A125" s="58"/>
      <c r="B125" s="131"/>
    </row>
    <row r="126" spans="1:2">
      <c r="A126" s="58"/>
      <c r="B126" s="131"/>
    </row>
    <row r="127" spans="1:2">
      <c r="A127" s="58"/>
      <c r="B127" s="131"/>
    </row>
    <row r="128" spans="1:2">
      <c r="A128" s="58"/>
      <c r="B128" s="131"/>
    </row>
    <row r="129" spans="1:2">
      <c r="A129" s="58"/>
      <c r="B129" s="131"/>
    </row>
    <row r="130" spans="1:2">
      <c r="A130" s="58"/>
      <c r="B130" s="131"/>
    </row>
    <row r="131" spans="1:2">
      <c r="A131" s="58"/>
      <c r="B131" s="131"/>
    </row>
    <row r="132" spans="1:2">
      <c r="A132" s="58"/>
      <c r="B132" s="131"/>
    </row>
    <row r="133" spans="1:2">
      <c r="A133" s="58"/>
      <c r="B133" s="131"/>
    </row>
    <row r="134" spans="1:2">
      <c r="A134" s="58"/>
      <c r="B134" s="131"/>
    </row>
    <row r="135" spans="1:2">
      <c r="A135" s="58"/>
      <c r="B135" s="131"/>
    </row>
    <row r="136" spans="1:2">
      <c r="A136" s="58"/>
      <c r="B136" s="131"/>
    </row>
    <row r="137" spans="1:2">
      <c r="A137" s="58"/>
      <c r="B137" s="131"/>
    </row>
    <row r="138" spans="1:2">
      <c r="A138" s="58"/>
      <c r="B138" s="131"/>
    </row>
    <row r="139" spans="1:2">
      <c r="A139" s="58"/>
      <c r="B139" s="131"/>
    </row>
    <row r="140" spans="1:2">
      <c r="A140" s="58"/>
      <c r="B140" s="131"/>
    </row>
    <row r="141" spans="1:2">
      <c r="A141" s="58"/>
      <c r="B141" s="131"/>
    </row>
    <row r="142" spans="1:2">
      <c r="A142" s="58"/>
      <c r="B142" s="131"/>
    </row>
    <row r="143" spans="1:2">
      <c r="A143" s="58"/>
      <c r="B143" s="131"/>
    </row>
    <row r="144" spans="1:2">
      <c r="A144" s="58"/>
      <c r="B144" s="131"/>
    </row>
    <row r="145" spans="1:2">
      <c r="A145" s="58"/>
      <c r="B145" s="131"/>
    </row>
    <row r="146" spans="1:2">
      <c r="A146" s="58"/>
      <c r="B146" s="131"/>
    </row>
    <row r="147" spans="1:2">
      <c r="A147" s="58"/>
      <c r="B147" s="131"/>
    </row>
    <row r="148" spans="1:2">
      <c r="A148" s="58"/>
      <c r="B148" s="131"/>
    </row>
    <row r="149" spans="1:2">
      <c r="A149" s="58"/>
      <c r="B149" s="131"/>
    </row>
    <row r="150" spans="1:2">
      <c r="A150" s="58"/>
      <c r="B150" s="131"/>
    </row>
    <row r="151" spans="1:2">
      <c r="A151" s="58"/>
      <c r="B151" s="131"/>
    </row>
    <row r="152" spans="1:2">
      <c r="A152" s="58"/>
      <c r="B152" s="131"/>
    </row>
    <row r="153" spans="1:2">
      <c r="A153" s="58"/>
      <c r="B153" s="131"/>
    </row>
    <row r="154" spans="1:2">
      <c r="A154" s="58"/>
      <c r="B154" s="131"/>
    </row>
    <row r="155" spans="1:2">
      <c r="A155" s="58"/>
      <c r="B155" s="131"/>
    </row>
    <row r="156" spans="1:2">
      <c r="A156" s="58"/>
      <c r="B156" s="131"/>
    </row>
    <row r="157" spans="1:2">
      <c r="A157" s="58"/>
      <c r="B157" s="131"/>
    </row>
    <row r="158" spans="1:2">
      <c r="A158" s="58"/>
      <c r="B158" s="131"/>
    </row>
    <row r="159" spans="1:2">
      <c r="A159" s="58"/>
      <c r="B159" s="131"/>
    </row>
    <row r="160" spans="1:2">
      <c r="A160" s="58"/>
      <c r="B160" s="131"/>
    </row>
    <row r="161" spans="1:2">
      <c r="A161" s="58"/>
      <c r="B161" s="131"/>
    </row>
    <row r="162" spans="1:2">
      <c r="A162" s="58"/>
      <c r="B162" s="131"/>
    </row>
    <row r="163" spans="1:2">
      <c r="A163" s="58"/>
      <c r="B163" s="131"/>
    </row>
    <row r="164" spans="1:2">
      <c r="A164" s="58"/>
      <c r="B164" s="131"/>
    </row>
    <row r="165" spans="1:2">
      <c r="A165" s="58"/>
      <c r="B165" s="131"/>
    </row>
    <row r="166" spans="1:2">
      <c r="A166" s="58"/>
      <c r="B166" s="131"/>
    </row>
    <row r="167" spans="1:2">
      <c r="A167" s="58"/>
      <c r="B167" s="131"/>
    </row>
    <row r="168" spans="1:2">
      <c r="A168" s="58"/>
      <c r="B168" s="131"/>
    </row>
    <row r="169" spans="1:2">
      <c r="A169" s="58"/>
      <c r="B169" s="131"/>
    </row>
    <row r="170" spans="1:2">
      <c r="A170" s="58"/>
      <c r="B170" s="131"/>
    </row>
    <row r="171" spans="1:2">
      <c r="A171" s="58"/>
      <c r="B171" s="131"/>
    </row>
    <row r="172" spans="1:2">
      <c r="A172" s="58"/>
      <c r="B172" s="131"/>
    </row>
    <row r="173" spans="1:2">
      <c r="A173" s="58"/>
      <c r="B173" s="131"/>
    </row>
    <row r="174" spans="1:2">
      <c r="A174" s="58"/>
      <c r="B174" s="131"/>
    </row>
    <row r="175" spans="1:2">
      <c r="A175" s="58"/>
      <c r="B175" s="131"/>
    </row>
    <row r="176" spans="1:2">
      <c r="A176" s="58"/>
      <c r="B176" s="131"/>
    </row>
    <row r="177" spans="1:2">
      <c r="A177" s="58"/>
      <c r="B177" s="131"/>
    </row>
    <row r="178" spans="1:2">
      <c r="A178" s="58"/>
      <c r="B178" s="131"/>
    </row>
    <row r="179" spans="1:2">
      <c r="A179" s="58"/>
      <c r="B179" s="131"/>
    </row>
    <row r="180" spans="1:2">
      <c r="A180" s="58"/>
      <c r="B180" s="131"/>
    </row>
    <row r="181" spans="1:2">
      <c r="A181" s="58"/>
      <c r="B181" s="131"/>
    </row>
    <row r="182" spans="1:2">
      <c r="A182" s="58"/>
      <c r="B182" s="131"/>
    </row>
    <row r="183" spans="1:2">
      <c r="A183" s="58"/>
      <c r="B183" s="131"/>
    </row>
    <row r="184" spans="1:2">
      <c r="A184" s="58"/>
      <c r="B184" s="131"/>
    </row>
    <row r="185" spans="1:2">
      <c r="A185" s="58"/>
      <c r="B185" s="131"/>
    </row>
    <row r="186" spans="1:2">
      <c r="A186" s="58"/>
      <c r="B186" s="131"/>
    </row>
    <row r="187" spans="1:2">
      <c r="A187" s="58"/>
      <c r="B187" s="131"/>
    </row>
    <row r="188" spans="1:2">
      <c r="A188" s="58"/>
      <c r="B188" s="131"/>
    </row>
    <row r="189" spans="1:2">
      <c r="A189" s="58"/>
      <c r="B189" s="131"/>
    </row>
    <row r="190" spans="1:2">
      <c r="A190" s="58"/>
      <c r="B190" s="131"/>
    </row>
    <row r="191" spans="1:2">
      <c r="A191" s="58"/>
      <c r="B191" s="131"/>
    </row>
    <row r="192" spans="1:2">
      <c r="A192" s="58"/>
      <c r="B192" s="131"/>
    </row>
    <row r="193" spans="1:2">
      <c r="A193" s="58"/>
      <c r="B193" s="131"/>
    </row>
    <row r="194" spans="1:2">
      <c r="A194" s="58"/>
      <c r="B194" s="131"/>
    </row>
    <row r="195" spans="1:2">
      <c r="A195" s="58"/>
      <c r="B195" s="131"/>
    </row>
    <row r="196" spans="1:2">
      <c r="A196" s="58"/>
      <c r="B196" s="131"/>
    </row>
    <row r="197" spans="1:2">
      <c r="A197" s="58"/>
      <c r="B197" s="131"/>
    </row>
    <row r="198" spans="1:2">
      <c r="A198" s="58"/>
      <c r="B198" s="131"/>
    </row>
    <row r="199" spans="1:2">
      <c r="A199" s="58"/>
      <c r="B199" s="131"/>
    </row>
    <row r="200" spans="1:2">
      <c r="A200" s="58"/>
      <c r="B200" s="131"/>
    </row>
    <row r="201" spans="1:2">
      <c r="A201" s="58"/>
      <c r="B201" s="131"/>
    </row>
    <row r="202" spans="1:2">
      <c r="A202" s="58"/>
      <c r="B202" s="131"/>
    </row>
    <row r="203" spans="1:2">
      <c r="A203" s="58"/>
      <c r="B203" s="131"/>
    </row>
    <row r="204" spans="1:2">
      <c r="A204" s="58"/>
      <c r="B204" s="131"/>
    </row>
    <row r="205" spans="1:2">
      <c r="A205" s="58"/>
      <c r="B205" s="131"/>
    </row>
    <row r="206" spans="1:2">
      <c r="A206" s="58"/>
      <c r="B206" s="131"/>
    </row>
    <row r="207" spans="1:2">
      <c r="A207" s="58"/>
      <c r="B207" s="131"/>
    </row>
    <row r="208" spans="1:2">
      <c r="A208" s="58"/>
      <c r="B208" s="131"/>
    </row>
    <row r="209" spans="1:2">
      <c r="A209" s="58"/>
      <c r="B209" s="131"/>
    </row>
    <row r="210" spans="1:2">
      <c r="A210" s="58"/>
      <c r="B210" s="131"/>
    </row>
    <row r="211" spans="1:2">
      <c r="A211" s="58"/>
      <c r="B211" s="131"/>
    </row>
    <row r="212" spans="1:2">
      <c r="A212" s="58"/>
      <c r="B212" s="131"/>
    </row>
    <row r="213" spans="1:2">
      <c r="A213" s="58"/>
      <c r="B213" s="131"/>
    </row>
    <row r="214" spans="1:2">
      <c r="A214" s="58"/>
      <c r="B214" s="131"/>
    </row>
    <row r="215" spans="1:2">
      <c r="A215" s="58"/>
      <c r="B215" s="131"/>
    </row>
    <row r="216" spans="1:2">
      <c r="A216" s="58"/>
      <c r="B216" s="131"/>
    </row>
    <row r="217" spans="1:2">
      <c r="A217" s="58"/>
      <c r="B217" s="131"/>
    </row>
    <row r="218" spans="1:2">
      <c r="A218" s="58"/>
      <c r="B218" s="131"/>
    </row>
    <row r="219" spans="1:2">
      <c r="A219" s="58"/>
      <c r="B219" s="131"/>
    </row>
    <row r="220" spans="1:2">
      <c r="A220" s="58"/>
      <c r="B220" s="131"/>
    </row>
    <row r="221" spans="1:2">
      <c r="A221" s="58"/>
      <c r="B221" s="131"/>
    </row>
    <row r="222" spans="1:2">
      <c r="A222" s="58"/>
      <c r="B222" s="131"/>
    </row>
    <row r="223" spans="1:2">
      <c r="A223" s="58"/>
      <c r="B223" s="131"/>
    </row>
    <row r="224" spans="1:2">
      <c r="A224" s="58"/>
      <c r="B224" s="131"/>
    </row>
    <row r="225" spans="1:2">
      <c r="A225" s="58"/>
      <c r="B225" s="131"/>
    </row>
    <row r="226" spans="1:2">
      <c r="A226" s="58"/>
      <c r="B226" s="131"/>
    </row>
    <row r="227" spans="1:2">
      <c r="A227" s="58"/>
      <c r="B227" s="131"/>
    </row>
    <row r="228" spans="1:2">
      <c r="A228" s="58"/>
      <c r="B228" s="131"/>
    </row>
    <row r="229" spans="1:2">
      <c r="A229" s="58"/>
      <c r="B229" s="131"/>
    </row>
    <row r="230" spans="1:2">
      <c r="A230" s="58"/>
      <c r="B230" s="131"/>
    </row>
    <row r="231" spans="1:2">
      <c r="A231" s="58"/>
      <c r="B231" s="131"/>
    </row>
    <row r="232" spans="1:2">
      <c r="A232" s="58"/>
      <c r="B232" s="131"/>
    </row>
    <row r="233" spans="1:2">
      <c r="A233" s="58"/>
      <c r="B233" s="131"/>
    </row>
    <row r="234" spans="1:2">
      <c r="A234" s="58"/>
      <c r="B234" s="131"/>
    </row>
    <row r="235" spans="1:2">
      <c r="A235" s="58"/>
      <c r="B235" s="131"/>
    </row>
    <row r="236" spans="1:2">
      <c r="A236" s="58"/>
      <c r="B236" s="131"/>
    </row>
    <row r="237" spans="1:2">
      <c r="A237" s="58"/>
      <c r="B237" s="131"/>
    </row>
    <row r="238" spans="1:2">
      <c r="A238" s="58"/>
      <c r="B238" s="131"/>
    </row>
    <row r="239" spans="1:2">
      <c r="A239" s="58"/>
      <c r="B239" s="131"/>
    </row>
    <row r="240" spans="1:2">
      <c r="A240" s="58"/>
      <c r="B240" s="131"/>
    </row>
    <row r="241" spans="1:2">
      <c r="A241" s="58"/>
      <c r="B241" s="131"/>
    </row>
    <row r="242" spans="1:2">
      <c r="A242" s="58"/>
      <c r="B242" s="131"/>
    </row>
    <row r="243" spans="1:2">
      <c r="A243" s="58"/>
      <c r="B243" s="131"/>
    </row>
    <row r="244" spans="1:2">
      <c r="A244" s="58"/>
      <c r="B244" s="131"/>
    </row>
    <row r="245" spans="1:2">
      <c r="A245" s="58"/>
      <c r="B245" s="131"/>
    </row>
    <row r="246" spans="1:2">
      <c r="A246" s="58"/>
      <c r="B246" s="131"/>
    </row>
    <row r="247" spans="1:2">
      <c r="A247" s="58"/>
      <c r="B247" s="131"/>
    </row>
    <row r="248" spans="1:2">
      <c r="A248" s="58"/>
      <c r="B248" s="131"/>
    </row>
    <row r="249" spans="1:2">
      <c r="A249" s="58"/>
      <c r="B249" s="131"/>
    </row>
    <row r="250" spans="1:2">
      <c r="A250" s="58"/>
      <c r="B250" s="131"/>
    </row>
    <row r="251" spans="1:2">
      <c r="A251" s="58"/>
      <c r="B251" s="131"/>
    </row>
    <row r="252" spans="1:2">
      <c r="A252" s="58"/>
      <c r="B252" s="131"/>
    </row>
    <row r="253" spans="1:2">
      <c r="A253" s="58"/>
      <c r="B253" s="131"/>
    </row>
    <row r="254" spans="1:2">
      <c r="A254" s="58"/>
      <c r="B254" s="131"/>
    </row>
    <row r="255" spans="1:2">
      <c r="A255" s="58"/>
      <c r="B255" s="131"/>
    </row>
    <row r="256" spans="1:2">
      <c r="A256" s="58"/>
      <c r="B256" s="131"/>
    </row>
    <row r="257" spans="1:2">
      <c r="A257" s="58"/>
      <c r="B257" s="131"/>
    </row>
    <row r="258" spans="1:2">
      <c r="A258" s="58"/>
      <c r="B258" s="131"/>
    </row>
    <row r="259" spans="1:2">
      <c r="A259" s="58"/>
      <c r="B259" s="131"/>
    </row>
    <row r="260" spans="1:2">
      <c r="A260" s="58"/>
      <c r="B260" s="131"/>
    </row>
    <row r="261" spans="1:2">
      <c r="A261" s="58"/>
      <c r="B261" s="131"/>
    </row>
    <row r="262" spans="1:2">
      <c r="A262" s="58"/>
      <c r="B262" s="131"/>
    </row>
    <row r="263" spans="1:2">
      <c r="A263" s="58"/>
      <c r="B263" s="131"/>
    </row>
    <row r="264" spans="1:2">
      <c r="A264" s="58"/>
      <c r="B264" s="131"/>
    </row>
    <row r="265" spans="1:2">
      <c r="A265" s="58"/>
      <c r="B265" s="131"/>
    </row>
    <row r="266" spans="1:2">
      <c r="A266" s="58"/>
      <c r="B266" s="131"/>
    </row>
    <row r="267" spans="1:2">
      <c r="A267" s="58"/>
      <c r="B267" s="131"/>
    </row>
    <row r="268" spans="1:2">
      <c r="A268" s="58"/>
      <c r="B268" s="131"/>
    </row>
    <row r="269" spans="1:2">
      <c r="A269" s="58"/>
      <c r="B269" s="131"/>
    </row>
    <row r="270" spans="1:2">
      <c r="A270" s="58"/>
      <c r="B270" s="131"/>
    </row>
    <row r="271" spans="1:2">
      <c r="A271" s="58"/>
      <c r="B271" s="131"/>
    </row>
    <row r="272" spans="1:2">
      <c r="A272" s="58"/>
      <c r="B272" s="131"/>
    </row>
    <row r="273" spans="1:2">
      <c r="A273" s="58"/>
      <c r="B273" s="131"/>
    </row>
  </sheetData>
  <mergeCells count="28">
    <mergeCell ref="J1:N1"/>
    <mergeCell ref="A42:B42"/>
    <mergeCell ref="A62:B62"/>
    <mergeCell ref="A63:B63"/>
    <mergeCell ref="H8:H9"/>
    <mergeCell ref="I8:I9"/>
    <mergeCell ref="A10:B10"/>
    <mergeCell ref="A41:B41"/>
    <mergeCell ref="A5:A9"/>
    <mergeCell ref="B5:B9"/>
    <mergeCell ref="C5:E5"/>
    <mergeCell ref="F5:H5"/>
    <mergeCell ref="I5:K5"/>
    <mergeCell ref="F6:H7"/>
    <mergeCell ref="I6:K7"/>
    <mergeCell ref="C8:C9"/>
    <mergeCell ref="D8:D9"/>
    <mergeCell ref="E8:E9"/>
    <mergeCell ref="F8:F9"/>
    <mergeCell ref="G8:G9"/>
    <mergeCell ref="C6:E7"/>
    <mergeCell ref="J8:J9"/>
    <mergeCell ref="K8:K9"/>
    <mergeCell ref="L5:N5"/>
    <mergeCell ref="L6:N7"/>
    <mergeCell ref="L8:L9"/>
    <mergeCell ref="M8:M9"/>
    <mergeCell ref="N8:N9"/>
  </mergeCells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46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N273"/>
  <sheetViews>
    <sheetView view="pageBreakPreview" zoomScale="80" zoomScaleNormal="75" zoomScaleSheetLayoutView="80" workbookViewId="0">
      <pane xSplit="2" ySplit="10" topLeftCell="G11" activePane="bottomRight" state="frozen"/>
      <selection pane="topRight" activeCell="C1" sqref="C1"/>
      <selection pane="bottomLeft" activeCell="A10" sqref="A10"/>
      <selection pane="bottomRight" activeCell="G2" sqref="G2"/>
    </sheetView>
  </sheetViews>
  <sheetFormatPr defaultRowHeight="12.75"/>
  <cols>
    <col min="1" max="1" width="11.7109375" style="57" bestFit="1" customWidth="1"/>
    <col min="2" max="2" width="93.140625" style="57" bestFit="1" customWidth="1"/>
    <col min="3" max="3" width="16.7109375" style="57" customWidth="1"/>
    <col min="4" max="4" width="14" style="57" customWidth="1"/>
    <col min="5" max="5" width="18.28515625" style="63" customWidth="1"/>
    <col min="6" max="6" width="14.42578125" style="57" customWidth="1"/>
    <col min="7" max="7" width="14" style="57" customWidth="1"/>
    <col min="8" max="8" width="15.5703125" style="63" customWidth="1"/>
    <col min="9" max="9" width="14.42578125" style="57" customWidth="1"/>
    <col min="10" max="10" width="14" style="57" customWidth="1"/>
    <col min="11" max="11" width="14" style="63" customWidth="1"/>
    <col min="12" max="253" width="9.140625" style="57"/>
    <col min="254" max="254" width="11.7109375" style="57" bestFit="1" customWidth="1"/>
    <col min="255" max="255" width="93.140625" style="57" bestFit="1" customWidth="1"/>
    <col min="256" max="256" width="16.7109375" style="57" customWidth="1"/>
    <col min="257" max="257" width="14" style="57" customWidth="1"/>
    <col min="258" max="258" width="18.28515625" style="57" customWidth="1"/>
    <col min="259" max="259" width="16.7109375" style="57" customWidth="1"/>
    <col min="260" max="260" width="14" style="57" customWidth="1"/>
    <col min="261" max="261" width="18.28515625" style="57" customWidth="1"/>
    <col min="262" max="262" width="14.42578125" style="57" customWidth="1"/>
    <col min="263" max="263" width="14" style="57" customWidth="1"/>
    <col min="264" max="264" width="15.5703125" style="57" customWidth="1"/>
    <col min="265" max="265" width="14.42578125" style="57" customWidth="1"/>
    <col min="266" max="267" width="14" style="57" customWidth="1"/>
    <col min="268" max="509" width="9.140625" style="57"/>
    <col min="510" max="510" width="11.7109375" style="57" bestFit="1" customWidth="1"/>
    <col min="511" max="511" width="93.140625" style="57" bestFit="1" customWidth="1"/>
    <col min="512" max="512" width="16.7109375" style="57" customWidth="1"/>
    <col min="513" max="513" width="14" style="57" customWidth="1"/>
    <col min="514" max="514" width="18.28515625" style="57" customWidth="1"/>
    <col min="515" max="515" width="16.7109375" style="57" customWidth="1"/>
    <col min="516" max="516" width="14" style="57" customWidth="1"/>
    <col min="517" max="517" width="18.28515625" style="57" customWidth="1"/>
    <col min="518" max="518" width="14.42578125" style="57" customWidth="1"/>
    <col min="519" max="519" width="14" style="57" customWidth="1"/>
    <col min="520" max="520" width="15.5703125" style="57" customWidth="1"/>
    <col min="521" max="521" width="14.42578125" style="57" customWidth="1"/>
    <col min="522" max="523" width="14" style="57" customWidth="1"/>
    <col min="524" max="765" width="9.140625" style="57"/>
    <col min="766" max="766" width="11.7109375" style="57" bestFit="1" customWidth="1"/>
    <col min="767" max="767" width="93.140625" style="57" bestFit="1" customWidth="1"/>
    <col min="768" max="768" width="16.7109375" style="57" customWidth="1"/>
    <col min="769" max="769" width="14" style="57" customWidth="1"/>
    <col min="770" max="770" width="18.28515625" style="57" customWidth="1"/>
    <col min="771" max="771" width="16.7109375" style="57" customWidth="1"/>
    <col min="772" max="772" width="14" style="57" customWidth="1"/>
    <col min="773" max="773" width="18.28515625" style="57" customWidth="1"/>
    <col min="774" max="774" width="14.42578125" style="57" customWidth="1"/>
    <col min="775" max="775" width="14" style="57" customWidth="1"/>
    <col min="776" max="776" width="15.5703125" style="57" customWidth="1"/>
    <col min="777" max="777" width="14.42578125" style="57" customWidth="1"/>
    <col min="778" max="779" width="14" style="57" customWidth="1"/>
    <col min="780" max="1021" width="9.140625" style="57"/>
    <col min="1022" max="1022" width="11.7109375" style="57" bestFit="1" customWidth="1"/>
    <col min="1023" max="1023" width="93.140625" style="57" bestFit="1" customWidth="1"/>
    <col min="1024" max="1024" width="16.7109375" style="57" customWidth="1"/>
    <col min="1025" max="1025" width="14" style="57" customWidth="1"/>
    <col min="1026" max="1026" width="18.28515625" style="57" customWidth="1"/>
    <col min="1027" max="1027" width="16.7109375" style="57" customWidth="1"/>
    <col min="1028" max="1028" width="14" style="57" customWidth="1"/>
    <col min="1029" max="1029" width="18.28515625" style="57" customWidth="1"/>
    <col min="1030" max="1030" width="14.42578125" style="57" customWidth="1"/>
    <col min="1031" max="1031" width="14" style="57" customWidth="1"/>
    <col min="1032" max="1032" width="15.5703125" style="57" customWidth="1"/>
    <col min="1033" max="1033" width="14.42578125" style="57" customWidth="1"/>
    <col min="1034" max="1035" width="14" style="57" customWidth="1"/>
    <col min="1036" max="1277" width="9.140625" style="57"/>
    <col min="1278" max="1278" width="11.7109375" style="57" bestFit="1" customWidth="1"/>
    <col min="1279" max="1279" width="93.140625" style="57" bestFit="1" customWidth="1"/>
    <col min="1280" max="1280" width="16.7109375" style="57" customWidth="1"/>
    <col min="1281" max="1281" width="14" style="57" customWidth="1"/>
    <col min="1282" max="1282" width="18.28515625" style="57" customWidth="1"/>
    <col min="1283" max="1283" width="16.7109375" style="57" customWidth="1"/>
    <col min="1284" max="1284" width="14" style="57" customWidth="1"/>
    <col min="1285" max="1285" width="18.28515625" style="57" customWidth="1"/>
    <col min="1286" max="1286" width="14.42578125" style="57" customWidth="1"/>
    <col min="1287" max="1287" width="14" style="57" customWidth="1"/>
    <col min="1288" max="1288" width="15.5703125" style="57" customWidth="1"/>
    <col min="1289" max="1289" width="14.42578125" style="57" customWidth="1"/>
    <col min="1290" max="1291" width="14" style="57" customWidth="1"/>
    <col min="1292" max="1533" width="9.140625" style="57"/>
    <col min="1534" max="1534" width="11.7109375" style="57" bestFit="1" customWidth="1"/>
    <col min="1535" max="1535" width="93.140625" style="57" bestFit="1" customWidth="1"/>
    <col min="1536" max="1536" width="16.7109375" style="57" customWidth="1"/>
    <col min="1537" max="1537" width="14" style="57" customWidth="1"/>
    <col min="1538" max="1538" width="18.28515625" style="57" customWidth="1"/>
    <col min="1539" max="1539" width="16.7109375" style="57" customWidth="1"/>
    <col min="1540" max="1540" width="14" style="57" customWidth="1"/>
    <col min="1541" max="1541" width="18.28515625" style="57" customWidth="1"/>
    <col min="1542" max="1542" width="14.42578125" style="57" customWidth="1"/>
    <col min="1543" max="1543" width="14" style="57" customWidth="1"/>
    <col min="1544" max="1544" width="15.5703125" style="57" customWidth="1"/>
    <col min="1545" max="1545" width="14.42578125" style="57" customWidth="1"/>
    <col min="1546" max="1547" width="14" style="57" customWidth="1"/>
    <col min="1548" max="1789" width="9.140625" style="57"/>
    <col min="1790" max="1790" width="11.7109375" style="57" bestFit="1" customWidth="1"/>
    <col min="1791" max="1791" width="93.140625" style="57" bestFit="1" customWidth="1"/>
    <col min="1792" max="1792" width="16.7109375" style="57" customWidth="1"/>
    <col min="1793" max="1793" width="14" style="57" customWidth="1"/>
    <col min="1794" max="1794" width="18.28515625" style="57" customWidth="1"/>
    <col min="1795" max="1795" width="16.7109375" style="57" customWidth="1"/>
    <col min="1796" max="1796" width="14" style="57" customWidth="1"/>
    <col min="1797" max="1797" width="18.28515625" style="57" customWidth="1"/>
    <col min="1798" max="1798" width="14.42578125" style="57" customWidth="1"/>
    <col min="1799" max="1799" width="14" style="57" customWidth="1"/>
    <col min="1800" max="1800" width="15.5703125" style="57" customWidth="1"/>
    <col min="1801" max="1801" width="14.42578125" style="57" customWidth="1"/>
    <col min="1802" max="1803" width="14" style="57" customWidth="1"/>
    <col min="1804" max="2045" width="9.140625" style="57"/>
    <col min="2046" max="2046" width="11.7109375" style="57" bestFit="1" customWidth="1"/>
    <col min="2047" max="2047" width="93.140625" style="57" bestFit="1" customWidth="1"/>
    <col min="2048" max="2048" width="16.7109375" style="57" customWidth="1"/>
    <col min="2049" max="2049" width="14" style="57" customWidth="1"/>
    <col min="2050" max="2050" width="18.28515625" style="57" customWidth="1"/>
    <col min="2051" max="2051" width="16.7109375" style="57" customWidth="1"/>
    <col min="2052" max="2052" width="14" style="57" customWidth="1"/>
    <col min="2053" max="2053" width="18.28515625" style="57" customWidth="1"/>
    <col min="2054" max="2054" width="14.42578125" style="57" customWidth="1"/>
    <col min="2055" max="2055" width="14" style="57" customWidth="1"/>
    <col min="2056" max="2056" width="15.5703125" style="57" customWidth="1"/>
    <col min="2057" max="2057" width="14.42578125" style="57" customWidth="1"/>
    <col min="2058" max="2059" width="14" style="57" customWidth="1"/>
    <col min="2060" max="2301" width="9.140625" style="57"/>
    <col min="2302" max="2302" width="11.7109375" style="57" bestFit="1" customWidth="1"/>
    <col min="2303" max="2303" width="93.140625" style="57" bestFit="1" customWidth="1"/>
    <col min="2304" max="2304" width="16.7109375" style="57" customWidth="1"/>
    <col min="2305" max="2305" width="14" style="57" customWidth="1"/>
    <col min="2306" max="2306" width="18.28515625" style="57" customWidth="1"/>
    <col min="2307" max="2307" width="16.7109375" style="57" customWidth="1"/>
    <col min="2308" max="2308" width="14" style="57" customWidth="1"/>
    <col min="2309" max="2309" width="18.28515625" style="57" customWidth="1"/>
    <col min="2310" max="2310" width="14.42578125" style="57" customWidth="1"/>
    <col min="2311" max="2311" width="14" style="57" customWidth="1"/>
    <col min="2312" max="2312" width="15.5703125" style="57" customWidth="1"/>
    <col min="2313" max="2313" width="14.42578125" style="57" customWidth="1"/>
    <col min="2314" max="2315" width="14" style="57" customWidth="1"/>
    <col min="2316" max="2557" width="9.140625" style="57"/>
    <col min="2558" max="2558" width="11.7109375" style="57" bestFit="1" customWidth="1"/>
    <col min="2559" max="2559" width="93.140625" style="57" bestFit="1" customWidth="1"/>
    <col min="2560" max="2560" width="16.7109375" style="57" customWidth="1"/>
    <col min="2561" max="2561" width="14" style="57" customWidth="1"/>
    <col min="2562" max="2562" width="18.28515625" style="57" customWidth="1"/>
    <col min="2563" max="2563" width="16.7109375" style="57" customWidth="1"/>
    <col min="2564" max="2564" width="14" style="57" customWidth="1"/>
    <col min="2565" max="2565" width="18.28515625" style="57" customWidth="1"/>
    <col min="2566" max="2566" width="14.42578125" style="57" customWidth="1"/>
    <col min="2567" max="2567" width="14" style="57" customWidth="1"/>
    <col min="2568" max="2568" width="15.5703125" style="57" customWidth="1"/>
    <col min="2569" max="2569" width="14.42578125" style="57" customWidth="1"/>
    <col min="2570" max="2571" width="14" style="57" customWidth="1"/>
    <col min="2572" max="2813" width="9.140625" style="57"/>
    <col min="2814" max="2814" width="11.7109375" style="57" bestFit="1" customWidth="1"/>
    <col min="2815" max="2815" width="93.140625" style="57" bestFit="1" customWidth="1"/>
    <col min="2816" max="2816" width="16.7109375" style="57" customWidth="1"/>
    <col min="2817" max="2817" width="14" style="57" customWidth="1"/>
    <col min="2818" max="2818" width="18.28515625" style="57" customWidth="1"/>
    <col min="2819" max="2819" width="16.7109375" style="57" customWidth="1"/>
    <col min="2820" max="2820" width="14" style="57" customWidth="1"/>
    <col min="2821" max="2821" width="18.28515625" style="57" customWidth="1"/>
    <col min="2822" max="2822" width="14.42578125" style="57" customWidth="1"/>
    <col min="2823" max="2823" width="14" style="57" customWidth="1"/>
    <col min="2824" max="2824" width="15.5703125" style="57" customWidth="1"/>
    <col min="2825" max="2825" width="14.42578125" style="57" customWidth="1"/>
    <col min="2826" max="2827" width="14" style="57" customWidth="1"/>
    <col min="2828" max="3069" width="9.140625" style="57"/>
    <col min="3070" max="3070" width="11.7109375" style="57" bestFit="1" customWidth="1"/>
    <col min="3071" max="3071" width="93.140625" style="57" bestFit="1" customWidth="1"/>
    <col min="3072" max="3072" width="16.7109375" style="57" customWidth="1"/>
    <col min="3073" max="3073" width="14" style="57" customWidth="1"/>
    <col min="3074" max="3074" width="18.28515625" style="57" customWidth="1"/>
    <col min="3075" max="3075" width="16.7109375" style="57" customWidth="1"/>
    <col min="3076" max="3076" width="14" style="57" customWidth="1"/>
    <col min="3077" max="3077" width="18.28515625" style="57" customWidth="1"/>
    <col min="3078" max="3078" width="14.42578125" style="57" customWidth="1"/>
    <col min="3079" max="3079" width="14" style="57" customWidth="1"/>
    <col min="3080" max="3080" width="15.5703125" style="57" customWidth="1"/>
    <col min="3081" max="3081" width="14.42578125" style="57" customWidth="1"/>
    <col min="3082" max="3083" width="14" style="57" customWidth="1"/>
    <col min="3084" max="3325" width="9.140625" style="57"/>
    <col min="3326" max="3326" width="11.7109375" style="57" bestFit="1" customWidth="1"/>
    <col min="3327" max="3327" width="93.140625" style="57" bestFit="1" customWidth="1"/>
    <col min="3328" max="3328" width="16.7109375" style="57" customWidth="1"/>
    <col min="3329" max="3329" width="14" style="57" customWidth="1"/>
    <col min="3330" max="3330" width="18.28515625" style="57" customWidth="1"/>
    <col min="3331" max="3331" width="16.7109375" style="57" customWidth="1"/>
    <col min="3332" max="3332" width="14" style="57" customWidth="1"/>
    <col min="3333" max="3333" width="18.28515625" style="57" customWidth="1"/>
    <col min="3334" max="3334" width="14.42578125" style="57" customWidth="1"/>
    <col min="3335" max="3335" width="14" style="57" customWidth="1"/>
    <col min="3336" max="3336" width="15.5703125" style="57" customWidth="1"/>
    <col min="3337" max="3337" width="14.42578125" style="57" customWidth="1"/>
    <col min="3338" max="3339" width="14" style="57" customWidth="1"/>
    <col min="3340" max="3581" width="9.140625" style="57"/>
    <col min="3582" max="3582" width="11.7109375" style="57" bestFit="1" customWidth="1"/>
    <col min="3583" max="3583" width="93.140625" style="57" bestFit="1" customWidth="1"/>
    <col min="3584" max="3584" width="16.7109375" style="57" customWidth="1"/>
    <col min="3585" max="3585" width="14" style="57" customWidth="1"/>
    <col min="3586" max="3586" width="18.28515625" style="57" customWidth="1"/>
    <col min="3587" max="3587" width="16.7109375" style="57" customWidth="1"/>
    <col min="3588" max="3588" width="14" style="57" customWidth="1"/>
    <col min="3589" max="3589" width="18.28515625" style="57" customWidth="1"/>
    <col min="3590" max="3590" width="14.42578125" style="57" customWidth="1"/>
    <col min="3591" max="3591" width="14" style="57" customWidth="1"/>
    <col min="3592" max="3592" width="15.5703125" style="57" customWidth="1"/>
    <col min="3593" max="3593" width="14.42578125" style="57" customWidth="1"/>
    <col min="3594" max="3595" width="14" style="57" customWidth="1"/>
    <col min="3596" max="3837" width="9.140625" style="57"/>
    <col min="3838" max="3838" width="11.7109375" style="57" bestFit="1" customWidth="1"/>
    <col min="3839" max="3839" width="93.140625" style="57" bestFit="1" customWidth="1"/>
    <col min="3840" max="3840" width="16.7109375" style="57" customWidth="1"/>
    <col min="3841" max="3841" width="14" style="57" customWidth="1"/>
    <col min="3842" max="3842" width="18.28515625" style="57" customWidth="1"/>
    <col min="3843" max="3843" width="16.7109375" style="57" customWidth="1"/>
    <col min="3844" max="3844" width="14" style="57" customWidth="1"/>
    <col min="3845" max="3845" width="18.28515625" style="57" customWidth="1"/>
    <col min="3846" max="3846" width="14.42578125" style="57" customWidth="1"/>
    <col min="3847" max="3847" width="14" style="57" customWidth="1"/>
    <col min="3848" max="3848" width="15.5703125" style="57" customWidth="1"/>
    <col min="3849" max="3849" width="14.42578125" style="57" customWidth="1"/>
    <col min="3850" max="3851" width="14" style="57" customWidth="1"/>
    <col min="3852" max="4093" width="9.140625" style="57"/>
    <col min="4094" max="4094" width="11.7109375" style="57" bestFit="1" customWidth="1"/>
    <col min="4095" max="4095" width="93.140625" style="57" bestFit="1" customWidth="1"/>
    <col min="4096" max="4096" width="16.7109375" style="57" customWidth="1"/>
    <col min="4097" max="4097" width="14" style="57" customWidth="1"/>
    <col min="4098" max="4098" width="18.28515625" style="57" customWidth="1"/>
    <col min="4099" max="4099" width="16.7109375" style="57" customWidth="1"/>
    <col min="4100" max="4100" width="14" style="57" customWidth="1"/>
    <col min="4101" max="4101" width="18.28515625" style="57" customWidth="1"/>
    <col min="4102" max="4102" width="14.42578125" style="57" customWidth="1"/>
    <col min="4103" max="4103" width="14" style="57" customWidth="1"/>
    <col min="4104" max="4104" width="15.5703125" style="57" customWidth="1"/>
    <col min="4105" max="4105" width="14.42578125" style="57" customWidth="1"/>
    <col min="4106" max="4107" width="14" style="57" customWidth="1"/>
    <col min="4108" max="4349" width="9.140625" style="57"/>
    <col min="4350" max="4350" width="11.7109375" style="57" bestFit="1" customWidth="1"/>
    <col min="4351" max="4351" width="93.140625" style="57" bestFit="1" customWidth="1"/>
    <col min="4352" max="4352" width="16.7109375" style="57" customWidth="1"/>
    <col min="4353" max="4353" width="14" style="57" customWidth="1"/>
    <col min="4354" max="4354" width="18.28515625" style="57" customWidth="1"/>
    <col min="4355" max="4355" width="16.7109375" style="57" customWidth="1"/>
    <col min="4356" max="4356" width="14" style="57" customWidth="1"/>
    <col min="4357" max="4357" width="18.28515625" style="57" customWidth="1"/>
    <col min="4358" max="4358" width="14.42578125" style="57" customWidth="1"/>
    <col min="4359" max="4359" width="14" style="57" customWidth="1"/>
    <col min="4360" max="4360" width="15.5703125" style="57" customWidth="1"/>
    <col min="4361" max="4361" width="14.42578125" style="57" customWidth="1"/>
    <col min="4362" max="4363" width="14" style="57" customWidth="1"/>
    <col min="4364" max="4605" width="9.140625" style="57"/>
    <col min="4606" max="4606" width="11.7109375" style="57" bestFit="1" customWidth="1"/>
    <col min="4607" max="4607" width="93.140625" style="57" bestFit="1" customWidth="1"/>
    <col min="4608" max="4608" width="16.7109375" style="57" customWidth="1"/>
    <col min="4609" max="4609" width="14" style="57" customWidth="1"/>
    <col min="4610" max="4610" width="18.28515625" style="57" customWidth="1"/>
    <col min="4611" max="4611" width="16.7109375" style="57" customWidth="1"/>
    <col min="4612" max="4612" width="14" style="57" customWidth="1"/>
    <col min="4613" max="4613" width="18.28515625" style="57" customWidth="1"/>
    <col min="4614" max="4614" width="14.42578125" style="57" customWidth="1"/>
    <col min="4615" max="4615" width="14" style="57" customWidth="1"/>
    <col min="4616" max="4616" width="15.5703125" style="57" customWidth="1"/>
    <col min="4617" max="4617" width="14.42578125" style="57" customWidth="1"/>
    <col min="4618" max="4619" width="14" style="57" customWidth="1"/>
    <col min="4620" max="4861" width="9.140625" style="57"/>
    <col min="4862" max="4862" width="11.7109375" style="57" bestFit="1" customWidth="1"/>
    <col min="4863" max="4863" width="93.140625" style="57" bestFit="1" customWidth="1"/>
    <col min="4864" max="4864" width="16.7109375" style="57" customWidth="1"/>
    <col min="4865" max="4865" width="14" style="57" customWidth="1"/>
    <col min="4866" max="4866" width="18.28515625" style="57" customWidth="1"/>
    <col min="4867" max="4867" width="16.7109375" style="57" customWidth="1"/>
    <col min="4868" max="4868" width="14" style="57" customWidth="1"/>
    <col min="4869" max="4869" width="18.28515625" style="57" customWidth="1"/>
    <col min="4870" max="4870" width="14.42578125" style="57" customWidth="1"/>
    <col min="4871" max="4871" width="14" style="57" customWidth="1"/>
    <col min="4872" max="4872" width="15.5703125" style="57" customWidth="1"/>
    <col min="4873" max="4873" width="14.42578125" style="57" customWidth="1"/>
    <col min="4874" max="4875" width="14" style="57" customWidth="1"/>
    <col min="4876" max="5117" width="9.140625" style="57"/>
    <col min="5118" max="5118" width="11.7109375" style="57" bestFit="1" customWidth="1"/>
    <col min="5119" max="5119" width="93.140625" style="57" bestFit="1" customWidth="1"/>
    <col min="5120" max="5120" width="16.7109375" style="57" customWidth="1"/>
    <col min="5121" max="5121" width="14" style="57" customWidth="1"/>
    <col min="5122" max="5122" width="18.28515625" style="57" customWidth="1"/>
    <col min="5123" max="5123" width="16.7109375" style="57" customWidth="1"/>
    <col min="5124" max="5124" width="14" style="57" customWidth="1"/>
    <col min="5125" max="5125" width="18.28515625" style="57" customWidth="1"/>
    <col min="5126" max="5126" width="14.42578125" style="57" customWidth="1"/>
    <col min="5127" max="5127" width="14" style="57" customWidth="1"/>
    <col min="5128" max="5128" width="15.5703125" style="57" customWidth="1"/>
    <col min="5129" max="5129" width="14.42578125" style="57" customWidth="1"/>
    <col min="5130" max="5131" width="14" style="57" customWidth="1"/>
    <col min="5132" max="5373" width="9.140625" style="57"/>
    <col min="5374" max="5374" width="11.7109375" style="57" bestFit="1" customWidth="1"/>
    <col min="5375" max="5375" width="93.140625" style="57" bestFit="1" customWidth="1"/>
    <col min="5376" max="5376" width="16.7109375" style="57" customWidth="1"/>
    <col min="5377" max="5377" width="14" style="57" customWidth="1"/>
    <col min="5378" max="5378" width="18.28515625" style="57" customWidth="1"/>
    <col min="5379" max="5379" width="16.7109375" style="57" customWidth="1"/>
    <col min="5380" max="5380" width="14" style="57" customWidth="1"/>
    <col min="5381" max="5381" width="18.28515625" style="57" customWidth="1"/>
    <col min="5382" max="5382" width="14.42578125" style="57" customWidth="1"/>
    <col min="5383" max="5383" width="14" style="57" customWidth="1"/>
    <col min="5384" max="5384" width="15.5703125" style="57" customWidth="1"/>
    <col min="5385" max="5385" width="14.42578125" style="57" customWidth="1"/>
    <col min="5386" max="5387" width="14" style="57" customWidth="1"/>
    <col min="5388" max="5629" width="9.140625" style="57"/>
    <col min="5630" max="5630" width="11.7109375" style="57" bestFit="1" customWidth="1"/>
    <col min="5631" max="5631" width="93.140625" style="57" bestFit="1" customWidth="1"/>
    <col min="5632" max="5632" width="16.7109375" style="57" customWidth="1"/>
    <col min="5633" max="5633" width="14" style="57" customWidth="1"/>
    <col min="5634" max="5634" width="18.28515625" style="57" customWidth="1"/>
    <col min="5635" max="5635" width="16.7109375" style="57" customWidth="1"/>
    <col min="5636" max="5636" width="14" style="57" customWidth="1"/>
    <col min="5637" max="5637" width="18.28515625" style="57" customWidth="1"/>
    <col min="5638" max="5638" width="14.42578125" style="57" customWidth="1"/>
    <col min="5639" max="5639" width="14" style="57" customWidth="1"/>
    <col min="5640" max="5640" width="15.5703125" style="57" customWidth="1"/>
    <col min="5641" max="5641" width="14.42578125" style="57" customWidth="1"/>
    <col min="5642" max="5643" width="14" style="57" customWidth="1"/>
    <col min="5644" max="5885" width="9.140625" style="57"/>
    <col min="5886" max="5886" width="11.7109375" style="57" bestFit="1" customWidth="1"/>
    <col min="5887" max="5887" width="93.140625" style="57" bestFit="1" customWidth="1"/>
    <col min="5888" max="5888" width="16.7109375" style="57" customWidth="1"/>
    <col min="5889" max="5889" width="14" style="57" customWidth="1"/>
    <col min="5890" max="5890" width="18.28515625" style="57" customWidth="1"/>
    <col min="5891" max="5891" width="16.7109375" style="57" customWidth="1"/>
    <col min="5892" max="5892" width="14" style="57" customWidth="1"/>
    <col min="5893" max="5893" width="18.28515625" style="57" customWidth="1"/>
    <col min="5894" max="5894" width="14.42578125" style="57" customWidth="1"/>
    <col min="5895" max="5895" width="14" style="57" customWidth="1"/>
    <col min="5896" max="5896" width="15.5703125" style="57" customWidth="1"/>
    <col min="5897" max="5897" width="14.42578125" style="57" customWidth="1"/>
    <col min="5898" max="5899" width="14" style="57" customWidth="1"/>
    <col min="5900" max="6141" width="9.140625" style="57"/>
    <col min="6142" max="6142" width="11.7109375" style="57" bestFit="1" customWidth="1"/>
    <col min="6143" max="6143" width="93.140625" style="57" bestFit="1" customWidth="1"/>
    <col min="6144" max="6144" width="16.7109375" style="57" customWidth="1"/>
    <col min="6145" max="6145" width="14" style="57" customWidth="1"/>
    <col min="6146" max="6146" width="18.28515625" style="57" customWidth="1"/>
    <col min="6147" max="6147" width="16.7109375" style="57" customWidth="1"/>
    <col min="6148" max="6148" width="14" style="57" customWidth="1"/>
    <col min="6149" max="6149" width="18.28515625" style="57" customWidth="1"/>
    <col min="6150" max="6150" width="14.42578125" style="57" customWidth="1"/>
    <col min="6151" max="6151" width="14" style="57" customWidth="1"/>
    <col min="6152" max="6152" width="15.5703125" style="57" customWidth="1"/>
    <col min="6153" max="6153" width="14.42578125" style="57" customWidth="1"/>
    <col min="6154" max="6155" width="14" style="57" customWidth="1"/>
    <col min="6156" max="6397" width="9.140625" style="57"/>
    <col min="6398" max="6398" width="11.7109375" style="57" bestFit="1" customWidth="1"/>
    <col min="6399" max="6399" width="93.140625" style="57" bestFit="1" customWidth="1"/>
    <col min="6400" max="6400" width="16.7109375" style="57" customWidth="1"/>
    <col min="6401" max="6401" width="14" style="57" customWidth="1"/>
    <col min="6402" max="6402" width="18.28515625" style="57" customWidth="1"/>
    <col min="6403" max="6403" width="16.7109375" style="57" customWidth="1"/>
    <col min="6404" max="6404" width="14" style="57" customWidth="1"/>
    <col min="6405" max="6405" width="18.28515625" style="57" customWidth="1"/>
    <col min="6406" max="6406" width="14.42578125" style="57" customWidth="1"/>
    <col min="6407" max="6407" width="14" style="57" customWidth="1"/>
    <col min="6408" max="6408" width="15.5703125" style="57" customWidth="1"/>
    <col min="6409" max="6409" width="14.42578125" style="57" customWidth="1"/>
    <col min="6410" max="6411" width="14" style="57" customWidth="1"/>
    <col min="6412" max="6653" width="9.140625" style="57"/>
    <col min="6654" max="6654" width="11.7109375" style="57" bestFit="1" customWidth="1"/>
    <col min="6655" max="6655" width="93.140625" style="57" bestFit="1" customWidth="1"/>
    <col min="6656" max="6656" width="16.7109375" style="57" customWidth="1"/>
    <col min="6657" max="6657" width="14" style="57" customWidth="1"/>
    <col min="6658" max="6658" width="18.28515625" style="57" customWidth="1"/>
    <col min="6659" max="6659" width="16.7109375" style="57" customWidth="1"/>
    <col min="6660" max="6660" width="14" style="57" customWidth="1"/>
    <col min="6661" max="6661" width="18.28515625" style="57" customWidth="1"/>
    <col min="6662" max="6662" width="14.42578125" style="57" customWidth="1"/>
    <col min="6663" max="6663" width="14" style="57" customWidth="1"/>
    <col min="6664" max="6664" width="15.5703125" style="57" customWidth="1"/>
    <col min="6665" max="6665" width="14.42578125" style="57" customWidth="1"/>
    <col min="6666" max="6667" width="14" style="57" customWidth="1"/>
    <col min="6668" max="6909" width="9.140625" style="57"/>
    <col min="6910" max="6910" width="11.7109375" style="57" bestFit="1" customWidth="1"/>
    <col min="6911" max="6911" width="93.140625" style="57" bestFit="1" customWidth="1"/>
    <col min="6912" max="6912" width="16.7109375" style="57" customWidth="1"/>
    <col min="6913" max="6913" width="14" style="57" customWidth="1"/>
    <col min="6914" max="6914" width="18.28515625" style="57" customWidth="1"/>
    <col min="6915" max="6915" width="16.7109375" style="57" customWidth="1"/>
    <col min="6916" max="6916" width="14" style="57" customWidth="1"/>
    <col min="6917" max="6917" width="18.28515625" style="57" customWidth="1"/>
    <col min="6918" max="6918" width="14.42578125" style="57" customWidth="1"/>
    <col min="6919" max="6919" width="14" style="57" customWidth="1"/>
    <col min="6920" max="6920" width="15.5703125" style="57" customWidth="1"/>
    <col min="6921" max="6921" width="14.42578125" style="57" customWidth="1"/>
    <col min="6922" max="6923" width="14" style="57" customWidth="1"/>
    <col min="6924" max="7165" width="9.140625" style="57"/>
    <col min="7166" max="7166" width="11.7109375" style="57" bestFit="1" customWidth="1"/>
    <col min="7167" max="7167" width="93.140625" style="57" bestFit="1" customWidth="1"/>
    <col min="7168" max="7168" width="16.7109375" style="57" customWidth="1"/>
    <col min="7169" max="7169" width="14" style="57" customWidth="1"/>
    <col min="7170" max="7170" width="18.28515625" style="57" customWidth="1"/>
    <col min="7171" max="7171" width="16.7109375" style="57" customWidth="1"/>
    <col min="7172" max="7172" width="14" style="57" customWidth="1"/>
    <col min="7173" max="7173" width="18.28515625" style="57" customWidth="1"/>
    <col min="7174" max="7174" width="14.42578125" style="57" customWidth="1"/>
    <col min="7175" max="7175" width="14" style="57" customWidth="1"/>
    <col min="7176" max="7176" width="15.5703125" style="57" customWidth="1"/>
    <col min="7177" max="7177" width="14.42578125" style="57" customWidth="1"/>
    <col min="7178" max="7179" width="14" style="57" customWidth="1"/>
    <col min="7180" max="7421" width="9.140625" style="57"/>
    <col min="7422" max="7422" width="11.7109375" style="57" bestFit="1" customWidth="1"/>
    <col min="7423" max="7423" width="93.140625" style="57" bestFit="1" customWidth="1"/>
    <col min="7424" max="7424" width="16.7109375" style="57" customWidth="1"/>
    <col min="7425" max="7425" width="14" style="57" customWidth="1"/>
    <col min="7426" max="7426" width="18.28515625" style="57" customWidth="1"/>
    <col min="7427" max="7427" width="16.7109375" style="57" customWidth="1"/>
    <col min="7428" max="7428" width="14" style="57" customWidth="1"/>
    <col min="7429" max="7429" width="18.28515625" style="57" customWidth="1"/>
    <col min="7430" max="7430" width="14.42578125" style="57" customWidth="1"/>
    <col min="7431" max="7431" width="14" style="57" customWidth="1"/>
    <col min="7432" max="7432" width="15.5703125" style="57" customWidth="1"/>
    <col min="7433" max="7433" width="14.42578125" style="57" customWidth="1"/>
    <col min="7434" max="7435" width="14" style="57" customWidth="1"/>
    <col min="7436" max="7677" width="9.140625" style="57"/>
    <col min="7678" max="7678" width="11.7109375" style="57" bestFit="1" customWidth="1"/>
    <col min="7679" max="7679" width="93.140625" style="57" bestFit="1" customWidth="1"/>
    <col min="7680" max="7680" width="16.7109375" style="57" customWidth="1"/>
    <col min="7681" max="7681" width="14" style="57" customWidth="1"/>
    <col min="7682" max="7682" width="18.28515625" style="57" customWidth="1"/>
    <col min="7683" max="7683" width="16.7109375" style="57" customWidth="1"/>
    <col min="7684" max="7684" width="14" style="57" customWidth="1"/>
    <col min="7685" max="7685" width="18.28515625" style="57" customWidth="1"/>
    <col min="7686" max="7686" width="14.42578125" style="57" customWidth="1"/>
    <col min="7687" max="7687" width="14" style="57" customWidth="1"/>
    <col min="7688" max="7688" width="15.5703125" style="57" customWidth="1"/>
    <col min="7689" max="7689" width="14.42578125" style="57" customWidth="1"/>
    <col min="7690" max="7691" width="14" style="57" customWidth="1"/>
    <col min="7692" max="7933" width="9.140625" style="57"/>
    <col min="7934" max="7934" width="11.7109375" style="57" bestFit="1" customWidth="1"/>
    <col min="7935" max="7935" width="93.140625" style="57" bestFit="1" customWidth="1"/>
    <col min="7936" max="7936" width="16.7109375" style="57" customWidth="1"/>
    <col min="7937" max="7937" width="14" style="57" customWidth="1"/>
    <col min="7938" max="7938" width="18.28515625" style="57" customWidth="1"/>
    <col min="7939" max="7939" width="16.7109375" style="57" customWidth="1"/>
    <col min="7940" max="7940" width="14" style="57" customWidth="1"/>
    <col min="7941" max="7941" width="18.28515625" style="57" customWidth="1"/>
    <col min="7942" max="7942" width="14.42578125" style="57" customWidth="1"/>
    <col min="7943" max="7943" width="14" style="57" customWidth="1"/>
    <col min="7944" max="7944" width="15.5703125" style="57" customWidth="1"/>
    <col min="7945" max="7945" width="14.42578125" style="57" customWidth="1"/>
    <col min="7946" max="7947" width="14" style="57" customWidth="1"/>
    <col min="7948" max="8189" width="9.140625" style="57"/>
    <col min="8190" max="8190" width="11.7109375" style="57" bestFit="1" customWidth="1"/>
    <col min="8191" max="8191" width="93.140625" style="57" bestFit="1" customWidth="1"/>
    <col min="8192" max="8192" width="16.7109375" style="57" customWidth="1"/>
    <col min="8193" max="8193" width="14" style="57" customWidth="1"/>
    <col min="8194" max="8194" width="18.28515625" style="57" customWidth="1"/>
    <col min="8195" max="8195" width="16.7109375" style="57" customWidth="1"/>
    <col min="8196" max="8196" width="14" style="57" customWidth="1"/>
    <col min="8197" max="8197" width="18.28515625" style="57" customWidth="1"/>
    <col min="8198" max="8198" width="14.42578125" style="57" customWidth="1"/>
    <col min="8199" max="8199" width="14" style="57" customWidth="1"/>
    <col min="8200" max="8200" width="15.5703125" style="57" customWidth="1"/>
    <col min="8201" max="8201" width="14.42578125" style="57" customWidth="1"/>
    <col min="8202" max="8203" width="14" style="57" customWidth="1"/>
    <col min="8204" max="8445" width="9.140625" style="57"/>
    <col min="8446" max="8446" width="11.7109375" style="57" bestFit="1" customWidth="1"/>
    <col min="8447" max="8447" width="93.140625" style="57" bestFit="1" customWidth="1"/>
    <col min="8448" max="8448" width="16.7109375" style="57" customWidth="1"/>
    <col min="8449" max="8449" width="14" style="57" customWidth="1"/>
    <col min="8450" max="8450" width="18.28515625" style="57" customWidth="1"/>
    <col min="8451" max="8451" width="16.7109375" style="57" customWidth="1"/>
    <col min="8452" max="8452" width="14" style="57" customWidth="1"/>
    <col min="8453" max="8453" width="18.28515625" style="57" customWidth="1"/>
    <col min="8454" max="8454" width="14.42578125" style="57" customWidth="1"/>
    <col min="8455" max="8455" width="14" style="57" customWidth="1"/>
    <col min="8456" max="8456" width="15.5703125" style="57" customWidth="1"/>
    <col min="8457" max="8457" width="14.42578125" style="57" customWidth="1"/>
    <col min="8458" max="8459" width="14" style="57" customWidth="1"/>
    <col min="8460" max="8701" width="9.140625" style="57"/>
    <col min="8702" max="8702" width="11.7109375" style="57" bestFit="1" customWidth="1"/>
    <col min="8703" max="8703" width="93.140625" style="57" bestFit="1" customWidth="1"/>
    <col min="8704" max="8704" width="16.7109375" style="57" customWidth="1"/>
    <col min="8705" max="8705" width="14" style="57" customWidth="1"/>
    <col min="8706" max="8706" width="18.28515625" style="57" customWidth="1"/>
    <col min="8707" max="8707" width="16.7109375" style="57" customWidth="1"/>
    <col min="8708" max="8708" width="14" style="57" customWidth="1"/>
    <col min="8709" max="8709" width="18.28515625" style="57" customWidth="1"/>
    <col min="8710" max="8710" width="14.42578125" style="57" customWidth="1"/>
    <col min="8711" max="8711" width="14" style="57" customWidth="1"/>
    <col min="8712" max="8712" width="15.5703125" style="57" customWidth="1"/>
    <col min="8713" max="8713" width="14.42578125" style="57" customWidth="1"/>
    <col min="8714" max="8715" width="14" style="57" customWidth="1"/>
    <col min="8716" max="8957" width="9.140625" style="57"/>
    <col min="8958" max="8958" width="11.7109375" style="57" bestFit="1" customWidth="1"/>
    <col min="8959" max="8959" width="93.140625" style="57" bestFit="1" customWidth="1"/>
    <col min="8960" max="8960" width="16.7109375" style="57" customWidth="1"/>
    <col min="8961" max="8961" width="14" style="57" customWidth="1"/>
    <col min="8962" max="8962" width="18.28515625" style="57" customWidth="1"/>
    <col min="8963" max="8963" width="16.7109375" style="57" customWidth="1"/>
    <col min="8964" max="8964" width="14" style="57" customWidth="1"/>
    <col min="8965" max="8965" width="18.28515625" style="57" customWidth="1"/>
    <col min="8966" max="8966" width="14.42578125" style="57" customWidth="1"/>
    <col min="8967" max="8967" width="14" style="57" customWidth="1"/>
    <col min="8968" max="8968" width="15.5703125" style="57" customWidth="1"/>
    <col min="8969" max="8969" width="14.42578125" style="57" customWidth="1"/>
    <col min="8970" max="8971" width="14" style="57" customWidth="1"/>
    <col min="8972" max="9213" width="9.140625" style="57"/>
    <col min="9214" max="9214" width="11.7109375" style="57" bestFit="1" customWidth="1"/>
    <col min="9215" max="9215" width="93.140625" style="57" bestFit="1" customWidth="1"/>
    <col min="9216" max="9216" width="16.7109375" style="57" customWidth="1"/>
    <col min="9217" max="9217" width="14" style="57" customWidth="1"/>
    <col min="9218" max="9218" width="18.28515625" style="57" customWidth="1"/>
    <col min="9219" max="9219" width="16.7109375" style="57" customWidth="1"/>
    <col min="9220" max="9220" width="14" style="57" customWidth="1"/>
    <col min="9221" max="9221" width="18.28515625" style="57" customWidth="1"/>
    <col min="9222" max="9222" width="14.42578125" style="57" customWidth="1"/>
    <col min="9223" max="9223" width="14" style="57" customWidth="1"/>
    <col min="9224" max="9224" width="15.5703125" style="57" customWidth="1"/>
    <col min="9225" max="9225" width="14.42578125" style="57" customWidth="1"/>
    <col min="9226" max="9227" width="14" style="57" customWidth="1"/>
    <col min="9228" max="9469" width="9.140625" style="57"/>
    <col min="9470" max="9470" width="11.7109375" style="57" bestFit="1" customWidth="1"/>
    <col min="9471" max="9471" width="93.140625" style="57" bestFit="1" customWidth="1"/>
    <col min="9472" max="9472" width="16.7109375" style="57" customWidth="1"/>
    <col min="9473" max="9473" width="14" style="57" customWidth="1"/>
    <col min="9474" max="9474" width="18.28515625" style="57" customWidth="1"/>
    <col min="9475" max="9475" width="16.7109375" style="57" customWidth="1"/>
    <col min="9476" max="9476" width="14" style="57" customWidth="1"/>
    <col min="9477" max="9477" width="18.28515625" style="57" customWidth="1"/>
    <col min="9478" max="9478" width="14.42578125" style="57" customWidth="1"/>
    <col min="9479" max="9479" width="14" style="57" customWidth="1"/>
    <col min="9480" max="9480" width="15.5703125" style="57" customWidth="1"/>
    <col min="9481" max="9481" width="14.42578125" style="57" customWidth="1"/>
    <col min="9482" max="9483" width="14" style="57" customWidth="1"/>
    <col min="9484" max="9725" width="9.140625" style="57"/>
    <col min="9726" max="9726" width="11.7109375" style="57" bestFit="1" customWidth="1"/>
    <col min="9727" max="9727" width="93.140625" style="57" bestFit="1" customWidth="1"/>
    <col min="9728" max="9728" width="16.7109375" style="57" customWidth="1"/>
    <col min="9729" max="9729" width="14" style="57" customWidth="1"/>
    <col min="9730" max="9730" width="18.28515625" style="57" customWidth="1"/>
    <col min="9731" max="9731" width="16.7109375" style="57" customWidth="1"/>
    <col min="9732" max="9732" width="14" style="57" customWidth="1"/>
    <col min="9733" max="9733" width="18.28515625" style="57" customWidth="1"/>
    <col min="9734" max="9734" width="14.42578125" style="57" customWidth="1"/>
    <col min="9735" max="9735" width="14" style="57" customWidth="1"/>
    <col min="9736" max="9736" width="15.5703125" style="57" customWidth="1"/>
    <col min="9737" max="9737" width="14.42578125" style="57" customWidth="1"/>
    <col min="9738" max="9739" width="14" style="57" customWidth="1"/>
    <col min="9740" max="9981" width="9.140625" style="57"/>
    <col min="9982" max="9982" width="11.7109375" style="57" bestFit="1" customWidth="1"/>
    <col min="9983" max="9983" width="93.140625" style="57" bestFit="1" customWidth="1"/>
    <col min="9984" max="9984" width="16.7109375" style="57" customWidth="1"/>
    <col min="9985" max="9985" width="14" style="57" customWidth="1"/>
    <col min="9986" max="9986" width="18.28515625" style="57" customWidth="1"/>
    <col min="9987" max="9987" width="16.7109375" style="57" customWidth="1"/>
    <col min="9988" max="9988" width="14" style="57" customWidth="1"/>
    <col min="9989" max="9989" width="18.28515625" style="57" customWidth="1"/>
    <col min="9990" max="9990" width="14.42578125" style="57" customWidth="1"/>
    <col min="9991" max="9991" width="14" style="57" customWidth="1"/>
    <col min="9992" max="9992" width="15.5703125" style="57" customWidth="1"/>
    <col min="9993" max="9993" width="14.42578125" style="57" customWidth="1"/>
    <col min="9994" max="9995" width="14" style="57" customWidth="1"/>
    <col min="9996" max="10237" width="9.140625" style="57"/>
    <col min="10238" max="10238" width="11.7109375" style="57" bestFit="1" customWidth="1"/>
    <col min="10239" max="10239" width="93.140625" style="57" bestFit="1" customWidth="1"/>
    <col min="10240" max="10240" width="16.7109375" style="57" customWidth="1"/>
    <col min="10241" max="10241" width="14" style="57" customWidth="1"/>
    <col min="10242" max="10242" width="18.28515625" style="57" customWidth="1"/>
    <col min="10243" max="10243" width="16.7109375" style="57" customWidth="1"/>
    <col min="10244" max="10244" width="14" style="57" customWidth="1"/>
    <col min="10245" max="10245" width="18.28515625" style="57" customWidth="1"/>
    <col min="10246" max="10246" width="14.42578125" style="57" customWidth="1"/>
    <col min="10247" max="10247" width="14" style="57" customWidth="1"/>
    <col min="10248" max="10248" width="15.5703125" style="57" customWidth="1"/>
    <col min="10249" max="10249" width="14.42578125" style="57" customWidth="1"/>
    <col min="10250" max="10251" width="14" style="57" customWidth="1"/>
    <col min="10252" max="10493" width="9.140625" style="57"/>
    <col min="10494" max="10494" width="11.7109375" style="57" bestFit="1" customWidth="1"/>
    <col min="10495" max="10495" width="93.140625" style="57" bestFit="1" customWidth="1"/>
    <col min="10496" max="10496" width="16.7109375" style="57" customWidth="1"/>
    <col min="10497" max="10497" width="14" style="57" customWidth="1"/>
    <col min="10498" max="10498" width="18.28515625" style="57" customWidth="1"/>
    <col min="10499" max="10499" width="16.7109375" style="57" customWidth="1"/>
    <col min="10500" max="10500" width="14" style="57" customWidth="1"/>
    <col min="10501" max="10501" width="18.28515625" style="57" customWidth="1"/>
    <col min="10502" max="10502" width="14.42578125" style="57" customWidth="1"/>
    <col min="10503" max="10503" width="14" style="57" customWidth="1"/>
    <col min="10504" max="10504" width="15.5703125" style="57" customWidth="1"/>
    <col min="10505" max="10505" width="14.42578125" style="57" customWidth="1"/>
    <col min="10506" max="10507" width="14" style="57" customWidth="1"/>
    <col min="10508" max="10749" width="9.140625" style="57"/>
    <col min="10750" max="10750" width="11.7109375" style="57" bestFit="1" customWidth="1"/>
    <col min="10751" max="10751" width="93.140625" style="57" bestFit="1" customWidth="1"/>
    <col min="10752" max="10752" width="16.7109375" style="57" customWidth="1"/>
    <col min="10753" max="10753" width="14" style="57" customWidth="1"/>
    <col min="10754" max="10754" width="18.28515625" style="57" customWidth="1"/>
    <col min="10755" max="10755" width="16.7109375" style="57" customWidth="1"/>
    <col min="10756" max="10756" width="14" style="57" customWidth="1"/>
    <col min="10757" max="10757" width="18.28515625" style="57" customWidth="1"/>
    <col min="10758" max="10758" width="14.42578125" style="57" customWidth="1"/>
    <col min="10759" max="10759" width="14" style="57" customWidth="1"/>
    <col min="10760" max="10760" width="15.5703125" style="57" customWidth="1"/>
    <col min="10761" max="10761" width="14.42578125" style="57" customWidth="1"/>
    <col min="10762" max="10763" width="14" style="57" customWidth="1"/>
    <col min="10764" max="11005" width="9.140625" style="57"/>
    <col min="11006" max="11006" width="11.7109375" style="57" bestFit="1" customWidth="1"/>
    <col min="11007" max="11007" width="93.140625" style="57" bestFit="1" customWidth="1"/>
    <col min="11008" max="11008" width="16.7109375" style="57" customWidth="1"/>
    <col min="11009" max="11009" width="14" style="57" customWidth="1"/>
    <col min="11010" max="11010" width="18.28515625" style="57" customWidth="1"/>
    <col min="11011" max="11011" width="16.7109375" style="57" customWidth="1"/>
    <col min="11012" max="11012" width="14" style="57" customWidth="1"/>
    <col min="11013" max="11013" width="18.28515625" style="57" customWidth="1"/>
    <col min="11014" max="11014" width="14.42578125" style="57" customWidth="1"/>
    <col min="11015" max="11015" width="14" style="57" customWidth="1"/>
    <col min="11016" max="11016" width="15.5703125" style="57" customWidth="1"/>
    <col min="11017" max="11017" width="14.42578125" style="57" customWidth="1"/>
    <col min="11018" max="11019" width="14" style="57" customWidth="1"/>
    <col min="11020" max="11261" width="9.140625" style="57"/>
    <col min="11262" max="11262" width="11.7109375" style="57" bestFit="1" customWidth="1"/>
    <col min="11263" max="11263" width="93.140625" style="57" bestFit="1" customWidth="1"/>
    <col min="11264" max="11264" width="16.7109375" style="57" customWidth="1"/>
    <col min="11265" max="11265" width="14" style="57" customWidth="1"/>
    <col min="11266" max="11266" width="18.28515625" style="57" customWidth="1"/>
    <col min="11267" max="11267" width="16.7109375" style="57" customWidth="1"/>
    <col min="11268" max="11268" width="14" style="57" customWidth="1"/>
    <col min="11269" max="11269" width="18.28515625" style="57" customWidth="1"/>
    <col min="11270" max="11270" width="14.42578125" style="57" customWidth="1"/>
    <col min="11271" max="11271" width="14" style="57" customWidth="1"/>
    <col min="11272" max="11272" width="15.5703125" style="57" customWidth="1"/>
    <col min="11273" max="11273" width="14.42578125" style="57" customWidth="1"/>
    <col min="11274" max="11275" width="14" style="57" customWidth="1"/>
    <col min="11276" max="11517" width="9.140625" style="57"/>
    <col min="11518" max="11518" width="11.7109375" style="57" bestFit="1" customWidth="1"/>
    <col min="11519" max="11519" width="93.140625" style="57" bestFit="1" customWidth="1"/>
    <col min="11520" max="11520" width="16.7109375" style="57" customWidth="1"/>
    <col min="11521" max="11521" width="14" style="57" customWidth="1"/>
    <col min="11522" max="11522" width="18.28515625" style="57" customWidth="1"/>
    <col min="11523" max="11523" width="16.7109375" style="57" customWidth="1"/>
    <col min="11524" max="11524" width="14" style="57" customWidth="1"/>
    <col min="11525" max="11525" width="18.28515625" style="57" customWidth="1"/>
    <col min="11526" max="11526" width="14.42578125" style="57" customWidth="1"/>
    <col min="11527" max="11527" width="14" style="57" customWidth="1"/>
    <col min="11528" max="11528" width="15.5703125" style="57" customWidth="1"/>
    <col min="11529" max="11529" width="14.42578125" style="57" customWidth="1"/>
    <col min="11530" max="11531" width="14" style="57" customWidth="1"/>
    <col min="11532" max="11773" width="9.140625" style="57"/>
    <col min="11774" max="11774" width="11.7109375" style="57" bestFit="1" customWidth="1"/>
    <col min="11775" max="11775" width="93.140625" style="57" bestFit="1" customWidth="1"/>
    <col min="11776" max="11776" width="16.7109375" style="57" customWidth="1"/>
    <col min="11777" max="11777" width="14" style="57" customWidth="1"/>
    <col min="11778" max="11778" width="18.28515625" style="57" customWidth="1"/>
    <col min="11779" max="11779" width="16.7109375" style="57" customWidth="1"/>
    <col min="11780" max="11780" width="14" style="57" customWidth="1"/>
    <col min="11781" max="11781" width="18.28515625" style="57" customWidth="1"/>
    <col min="11782" max="11782" width="14.42578125" style="57" customWidth="1"/>
    <col min="11783" max="11783" width="14" style="57" customWidth="1"/>
    <col min="11784" max="11784" width="15.5703125" style="57" customWidth="1"/>
    <col min="11785" max="11785" width="14.42578125" style="57" customWidth="1"/>
    <col min="11786" max="11787" width="14" style="57" customWidth="1"/>
    <col min="11788" max="12029" width="9.140625" style="57"/>
    <col min="12030" max="12030" width="11.7109375" style="57" bestFit="1" customWidth="1"/>
    <col min="12031" max="12031" width="93.140625" style="57" bestFit="1" customWidth="1"/>
    <col min="12032" max="12032" width="16.7109375" style="57" customWidth="1"/>
    <col min="12033" max="12033" width="14" style="57" customWidth="1"/>
    <col min="12034" max="12034" width="18.28515625" style="57" customWidth="1"/>
    <col min="12035" max="12035" width="16.7109375" style="57" customWidth="1"/>
    <col min="12036" max="12036" width="14" style="57" customWidth="1"/>
    <col min="12037" max="12037" width="18.28515625" style="57" customWidth="1"/>
    <col min="12038" max="12038" width="14.42578125" style="57" customWidth="1"/>
    <col min="12039" max="12039" width="14" style="57" customWidth="1"/>
    <col min="12040" max="12040" width="15.5703125" style="57" customWidth="1"/>
    <col min="12041" max="12041" width="14.42578125" style="57" customWidth="1"/>
    <col min="12042" max="12043" width="14" style="57" customWidth="1"/>
    <col min="12044" max="12285" width="9.140625" style="57"/>
    <col min="12286" max="12286" width="11.7109375" style="57" bestFit="1" customWidth="1"/>
    <col min="12287" max="12287" width="93.140625" style="57" bestFit="1" customWidth="1"/>
    <col min="12288" max="12288" width="16.7109375" style="57" customWidth="1"/>
    <col min="12289" max="12289" width="14" style="57" customWidth="1"/>
    <col min="12290" max="12290" width="18.28515625" style="57" customWidth="1"/>
    <col min="12291" max="12291" width="16.7109375" style="57" customWidth="1"/>
    <col min="12292" max="12292" width="14" style="57" customWidth="1"/>
    <col min="12293" max="12293" width="18.28515625" style="57" customWidth="1"/>
    <col min="12294" max="12294" width="14.42578125" style="57" customWidth="1"/>
    <col min="12295" max="12295" width="14" style="57" customWidth="1"/>
    <col min="12296" max="12296" width="15.5703125" style="57" customWidth="1"/>
    <col min="12297" max="12297" width="14.42578125" style="57" customWidth="1"/>
    <col min="12298" max="12299" width="14" style="57" customWidth="1"/>
    <col min="12300" max="12541" width="9.140625" style="57"/>
    <col min="12542" max="12542" width="11.7109375" style="57" bestFit="1" customWidth="1"/>
    <col min="12543" max="12543" width="93.140625" style="57" bestFit="1" customWidth="1"/>
    <col min="12544" max="12544" width="16.7109375" style="57" customWidth="1"/>
    <col min="12545" max="12545" width="14" style="57" customWidth="1"/>
    <col min="12546" max="12546" width="18.28515625" style="57" customWidth="1"/>
    <col min="12547" max="12547" width="16.7109375" style="57" customWidth="1"/>
    <col min="12548" max="12548" width="14" style="57" customWidth="1"/>
    <col min="12549" max="12549" width="18.28515625" style="57" customWidth="1"/>
    <col min="12550" max="12550" width="14.42578125" style="57" customWidth="1"/>
    <col min="12551" max="12551" width="14" style="57" customWidth="1"/>
    <col min="12552" max="12552" width="15.5703125" style="57" customWidth="1"/>
    <col min="12553" max="12553" width="14.42578125" style="57" customWidth="1"/>
    <col min="12554" max="12555" width="14" style="57" customWidth="1"/>
    <col min="12556" max="12797" width="9.140625" style="57"/>
    <col min="12798" max="12798" width="11.7109375" style="57" bestFit="1" customWidth="1"/>
    <col min="12799" max="12799" width="93.140625" style="57" bestFit="1" customWidth="1"/>
    <col min="12800" max="12800" width="16.7109375" style="57" customWidth="1"/>
    <col min="12801" max="12801" width="14" style="57" customWidth="1"/>
    <col min="12802" max="12802" width="18.28515625" style="57" customWidth="1"/>
    <col min="12803" max="12803" width="16.7109375" style="57" customWidth="1"/>
    <col min="12804" max="12804" width="14" style="57" customWidth="1"/>
    <col min="12805" max="12805" width="18.28515625" style="57" customWidth="1"/>
    <col min="12806" max="12806" width="14.42578125" style="57" customWidth="1"/>
    <col min="12807" max="12807" width="14" style="57" customWidth="1"/>
    <col min="12808" max="12808" width="15.5703125" style="57" customWidth="1"/>
    <col min="12809" max="12809" width="14.42578125" style="57" customWidth="1"/>
    <col min="12810" max="12811" width="14" style="57" customWidth="1"/>
    <col min="12812" max="13053" width="9.140625" style="57"/>
    <col min="13054" max="13054" width="11.7109375" style="57" bestFit="1" customWidth="1"/>
    <col min="13055" max="13055" width="93.140625" style="57" bestFit="1" customWidth="1"/>
    <col min="13056" max="13056" width="16.7109375" style="57" customWidth="1"/>
    <col min="13057" max="13057" width="14" style="57" customWidth="1"/>
    <col min="13058" max="13058" width="18.28515625" style="57" customWidth="1"/>
    <col min="13059" max="13059" width="16.7109375" style="57" customWidth="1"/>
    <col min="13060" max="13060" width="14" style="57" customWidth="1"/>
    <col min="13061" max="13061" width="18.28515625" style="57" customWidth="1"/>
    <col min="13062" max="13062" width="14.42578125" style="57" customWidth="1"/>
    <col min="13063" max="13063" width="14" style="57" customWidth="1"/>
    <col min="13064" max="13064" width="15.5703125" style="57" customWidth="1"/>
    <col min="13065" max="13065" width="14.42578125" style="57" customWidth="1"/>
    <col min="13066" max="13067" width="14" style="57" customWidth="1"/>
    <col min="13068" max="13309" width="9.140625" style="57"/>
    <col min="13310" max="13310" width="11.7109375" style="57" bestFit="1" customWidth="1"/>
    <col min="13311" max="13311" width="93.140625" style="57" bestFit="1" customWidth="1"/>
    <col min="13312" max="13312" width="16.7109375" style="57" customWidth="1"/>
    <col min="13313" max="13313" width="14" style="57" customWidth="1"/>
    <col min="13314" max="13314" width="18.28515625" style="57" customWidth="1"/>
    <col min="13315" max="13315" width="16.7109375" style="57" customWidth="1"/>
    <col min="13316" max="13316" width="14" style="57" customWidth="1"/>
    <col min="13317" max="13317" width="18.28515625" style="57" customWidth="1"/>
    <col min="13318" max="13318" width="14.42578125" style="57" customWidth="1"/>
    <col min="13319" max="13319" width="14" style="57" customWidth="1"/>
    <col min="13320" max="13320" width="15.5703125" style="57" customWidth="1"/>
    <col min="13321" max="13321" width="14.42578125" style="57" customWidth="1"/>
    <col min="13322" max="13323" width="14" style="57" customWidth="1"/>
    <col min="13324" max="13565" width="9.140625" style="57"/>
    <col min="13566" max="13566" width="11.7109375" style="57" bestFit="1" customWidth="1"/>
    <col min="13567" max="13567" width="93.140625" style="57" bestFit="1" customWidth="1"/>
    <col min="13568" max="13568" width="16.7109375" style="57" customWidth="1"/>
    <col min="13569" max="13569" width="14" style="57" customWidth="1"/>
    <col min="13570" max="13570" width="18.28515625" style="57" customWidth="1"/>
    <col min="13571" max="13571" width="16.7109375" style="57" customWidth="1"/>
    <col min="13572" max="13572" width="14" style="57" customWidth="1"/>
    <col min="13573" max="13573" width="18.28515625" style="57" customWidth="1"/>
    <col min="13574" max="13574" width="14.42578125" style="57" customWidth="1"/>
    <col min="13575" max="13575" width="14" style="57" customWidth="1"/>
    <col min="13576" max="13576" width="15.5703125" style="57" customWidth="1"/>
    <col min="13577" max="13577" width="14.42578125" style="57" customWidth="1"/>
    <col min="13578" max="13579" width="14" style="57" customWidth="1"/>
    <col min="13580" max="13821" width="9.140625" style="57"/>
    <col min="13822" max="13822" width="11.7109375" style="57" bestFit="1" customWidth="1"/>
    <col min="13823" max="13823" width="93.140625" style="57" bestFit="1" customWidth="1"/>
    <col min="13824" max="13824" width="16.7109375" style="57" customWidth="1"/>
    <col min="13825" max="13825" width="14" style="57" customWidth="1"/>
    <col min="13826" max="13826" width="18.28515625" style="57" customWidth="1"/>
    <col min="13827" max="13827" width="16.7109375" style="57" customWidth="1"/>
    <col min="13828" max="13828" width="14" style="57" customWidth="1"/>
    <col min="13829" max="13829" width="18.28515625" style="57" customWidth="1"/>
    <col min="13830" max="13830" width="14.42578125" style="57" customWidth="1"/>
    <col min="13831" max="13831" width="14" style="57" customWidth="1"/>
    <col min="13832" max="13832" width="15.5703125" style="57" customWidth="1"/>
    <col min="13833" max="13833" width="14.42578125" style="57" customWidth="1"/>
    <col min="13834" max="13835" width="14" style="57" customWidth="1"/>
    <col min="13836" max="14077" width="9.140625" style="57"/>
    <col min="14078" max="14078" width="11.7109375" style="57" bestFit="1" customWidth="1"/>
    <col min="14079" max="14079" width="93.140625" style="57" bestFit="1" customWidth="1"/>
    <col min="14080" max="14080" width="16.7109375" style="57" customWidth="1"/>
    <col min="14081" max="14081" width="14" style="57" customWidth="1"/>
    <col min="14082" max="14082" width="18.28515625" style="57" customWidth="1"/>
    <col min="14083" max="14083" width="16.7109375" style="57" customWidth="1"/>
    <col min="14084" max="14084" width="14" style="57" customWidth="1"/>
    <col min="14085" max="14085" width="18.28515625" style="57" customWidth="1"/>
    <col min="14086" max="14086" width="14.42578125" style="57" customWidth="1"/>
    <col min="14087" max="14087" width="14" style="57" customWidth="1"/>
    <col min="14088" max="14088" width="15.5703125" style="57" customWidth="1"/>
    <col min="14089" max="14089" width="14.42578125" style="57" customWidth="1"/>
    <col min="14090" max="14091" width="14" style="57" customWidth="1"/>
    <col min="14092" max="14333" width="9.140625" style="57"/>
    <col min="14334" max="14334" width="11.7109375" style="57" bestFit="1" customWidth="1"/>
    <col min="14335" max="14335" width="93.140625" style="57" bestFit="1" customWidth="1"/>
    <col min="14336" max="14336" width="16.7109375" style="57" customWidth="1"/>
    <col min="14337" max="14337" width="14" style="57" customWidth="1"/>
    <col min="14338" max="14338" width="18.28515625" style="57" customWidth="1"/>
    <col min="14339" max="14339" width="16.7109375" style="57" customWidth="1"/>
    <col min="14340" max="14340" width="14" style="57" customWidth="1"/>
    <col min="14341" max="14341" width="18.28515625" style="57" customWidth="1"/>
    <col min="14342" max="14342" width="14.42578125" style="57" customWidth="1"/>
    <col min="14343" max="14343" width="14" style="57" customWidth="1"/>
    <col min="14344" max="14344" width="15.5703125" style="57" customWidth="1"/>
    <col min="14345" max="14345" width="14.42578125" style="57" customWidth="1"/>
    <col min="14346" max="14347" width="14" style="57" customWidth="1"/>
    <col min="14348" max="14589" width="9.140625" style="57"/>
    <col min="14590" max="14590" width="11.7109375" style="57" bestFit="1" customWidth="1"/>
    <col min="14591" max="14591" width="93.140625" style="57" bestFit="1" customWidth="1"/>
    <col min="14592" max="14592" width="16.7109375" style="57" customWidth="1"/>
    <col min="14593" max="14593" width="14" style="57" customWidth="1"/>
    <col min="14594" max="14594" width="18.28515625" style="57" customWidth="1"/>
    <col min="14595" max="14595" width="16.7109375" style="57" customWidth="1"/>
    <col min="14596" max="14596" width="14" style="57" customWidth="1"/>
    <col min="14597" max="14597" width="18.28515625" style="57" customWidth="1"/>
    <col min="14598" max="14598" width="14.42578125" style="57" customWidth="1"/>
    <col min="14599" max="14599" width="14" style="57" customWidth="1"/>
    <col min="14600" max="14600" width="15.5703125" style="57" customWidth="1"/>
    <col min="14601" max="14601" width="14.42578125" style="57" customWidth="1"/>
    <col min="14602" max="14603" width="14" style="57" customWidth="1"/>
    <col min="14604" max="14845" width="9.140625" style="57"/>
    <col min="14846" max="14846" width="11.7109375" style="57" bestFit="1" customWidth="1"/>
    <col min="14847" max="14847" width="93.140625" style="57" bestFit="1" customWidth="1"/>
    <col min="14848" max="14848" width="16.7109375" style="57" customWidth="1"/>
    <col min="14849" max="14849" width="14" style="57" customWidth="1"/>
    <col min="14850" max="14850" width="18.28515625" style="57" customWidth="1"/>
    <col min="14851" max="14851" width="16.7109375" style="57" customWidth="1"/>
    <col min="14852" max="14852" width="14" style="57" customWidth="1"/>
    <col min="14853" max="14853" width="18.28515625" style="57" customWidth="1"/>
    <col min="14854" max="14854" width="14.42578125" style="57" customWidth="1"/>
    <col min="14855" max="14855" width="14" style="57" customWidth="1"/>
    <col min="14856" max="14856" width="15.5703125" style="57" customWidth="1"/>
    <col min="14857" max="14857" width="14.42578125" style="57" customWidth="1"/>
    <col min="14858" max="14859" width="14" style="57" customWidth="1"/>
    <col min="14860" max="15101" width="9.140625" style="57"/>
    <col min="15102" max="15102" width="11.7109375" style="57" bestFit="1" customWidth="1"/>
    <col min="15103" max="15103" width="93.140625" style="57" bestFit="1" customWidth="1"/>
    <col min="15104" max="15104" width="16.7109375" style="57" customWidth="1"/>
    <col min="15105" max="15105" width="14" style="57" customWidth="1"/>
    <col min="15106" max="15106" width="18.28515625" style="57" customWidth="1"/>
    <col min="15107" max="15107" width="16.7109375" style="57" customWidth="1"/>
    <col min="15108" max="15108" width="14" style="57" customWidth="1"/>
    <col min="15109" max="15109" width="18.28515625" style="57" customWidth="1"/>
    <col min="15110" max="15110" width="14.42578125" style="57" customWidth="1"/>
    <col min="15111" max="15111" width="14" style="57" customWidth="1"/>
    <col min="15112" max="15112" width="15.5703125" style="57" customWidth="1"/>
    <col min="15113" max="15113" width="14.42578125" style="57" customWidth="1"/>
    <col min="15114" max="15115" width="14" style="57" customWidth="1"/>
    <col min="15116" max="15357" width="9.140625" style="57"/>
    <col min="15358" max="15358" width="11.7109375" style="57" bestFit="1" customWidth="1"/>
    <col min="15359" max="15359" width="93.140625" style="57" bestFit="1" customWidth="1"/>
    <col min="15360" max="15360" width="16.7109375" style="57" customWidth="1"/>
    <col min="15361" max="15361" width="14" style="57" customWidth="1"/>
    <col min="15362" max="15362" width="18.28515625" style="57" customWidth="1"/>
    <col min="15363" max="15363" width="16.7109375" style="57" customWidth="1"/>
    <col min="15364" max="15364" width="14" style="57" customWidth="1"/>
    <col min="15365" max="15365" width="18.28515625" style="57" customWidth="1"/>
    <col min="15366" max="15366" width="14.42578125" style="57" customWidth="1"/>
    <col min="15367" max="15367" width="14" style="57" customWidth="1"/>
    <col min="15368" max="15368" width="15.5703125" style="57" customWidth="1"/>
    <col min="15369" max="15369" width="14.42578125" style="57" customWidth="1"/>
    <col min="15370" max="15371" width="14" style="57" customWidth="1"/>
    <col min="15372" max="15613" width="9.140625" style="57"/>
    <col min="15614" max="15614" width="11.7109375" style="57" bestFit="1" customWidth="1"/>
    <col min="15615" max="15615" width="93.140625" style="57" bestFit="1" customWidth="1"/>
    <col min="15616" max="15616" width="16.7109375" style="57" customWidth="1"/>
    <col min="15617" max="15617" width="14" style="57" customWidth="1"/>
    <col min="15618" max="15618" width="18.28515625" style="57" customWidth="1"/>
    <col min="15619" max="15619" width="16.7109375" style="57" customWidth="1"/>
    <col min="15620" max="15620" width="14" style="57" customWidth="1"/>
    <col min="15621" max="15621" width="18.28515625" style="57" customWidth="1"/>
    <col min="15622" max="15622" width="14.42578125" style="57" customWidth="1"/>
    <col min="15623" max="15623" width="14" style="57" customWidth="1"/>
    <col min="15624" max="15624" width="15.5703125" style="57" customWidth="1"/>
    <col min="15625" max="15625" width="14.42578125" style="57" customWidth="1"/>
    <col min="15626" max="15627" width="14" style="57" customWidth="1"/>
    <col min="15628" max="15869" width="9.140625" style="57"/>
    <col min="15870" max="15870" width="11.7109375" style="57" bestFit="1" customWidth="1"/>
    <col min="15871" max="15871" width="93.140625" style="57" bestFit="1" customWidth="1"/>
    <col min="15872" max="15872" width="16.7109375" style="57" customWidth="1"/>
    <col min="15873" max="15873" width="14" style="57" customWidth="1"/>
    <col min="15874" max="15874" width="18.28515625" style="57" customWidth="1"/>
    <col min="15875" max="15875" width="16.7109375" style="57" customWidth="1"/>
    <col min="15876" max="15876" width="14" style="57" customWidth="1"/>
    <col min="15877" max="15877" width="18.28515625" style="57" customWidth="1"/>
    <col min="15878" max="15878" width="14.42578125" style="57" customWidth="1"/>
    <col min="15879" max="15879" width="14" style="57" customWidth="1"/>
    <col min="15880" max="15880" width="15.5703125" style="57" customWidth="1"/>
    <col min="15881" max="15881" width="14.42578125" style="57" customWidth="1"/>
    <col min="15882" max="15883" width="14" style="57" customWidth="1"/>
    <col min="15884" max="16125" width="9.140625" style="57"/>
    <col min="16126" max="16126" width="11.7109375" style="57" bestFit="1" customWidth="1"/>
    <col min="16127" max="16127" width="93.140625" style="57" bestFit="1" customWidth="1"/>
    <col min="16128" max="16128" width="16.7109375" style="57" customWidth="1"/>
    <col min="16129" max="16129" width="14" style="57" customWidth="1"/>
    <col min="16130" max="16130" width="18.28515625" style="57" customWidth="1"/>
    <col min="16131" max="16131" width="16.7109375" style="57" customWidth="1"/>
    <col min="16132" max="16132" width="14" style="57" customWidth="1"/>
    <col min="16133" max="16133" width="18.28515625" style="57" customWidth="1"/>
    <col min="16134" max="16134" width="14.42578125" style="57" customWidth="1"/>
    <col min="16135" max="16135" width="14" style="57" customWidth="1"/>
    <col min="16136" max="16136" width="15.5703125" style="57" customWidth="1"/>
    <col min="16137" max="16137" width="14.42578125" style="57" customWidth="1"/>
    <col min="16138" max="16139" width="14" style="57" customWidth="1"/>
    <col min="16140" max="16384" width="9.140625" style="57"/>
  </cols>
  <sheetData>
    <row r="1" spans="1:14" ht="15">
      <c r="B1" s="58"/>
      <c r="D1" s="59"/>
      <c r="E1" s="61"/>
      <c r="F1" s="61"/>
      <c r="G1" s="272" t="s">
        <v>127</v>
      </c>
      <c r="H1" s="272"/>
      <c r="I1" s="272"/>
      <c r="J1" s="272"/>
      <c r="K1" s="272"/>
    </row>
    <row r="2" spans="1:14" ht="15">
      <c r="B2" s="58"/>
      <c r="D2" s="59"/>
      <c r="E2" s="61"/>
      <c r="F2" s="61"/>
      <c r="G2" s="211"/>
      <c r="H2" s="211"/>
      <c r="I2" s="211"/>
      <c r="J2" s="211"/>
      <c r="K2" s="211" t="s">
        <v>111</v>
      </c>
    </row>
    <row r="3" spans="1:14">
      <c r="B3" s="58"/>
      <c r="D3" s="59"/>
      <c r="E3" s="60"/>
      <c r="G3" s="59"/>
      <c r="H3" s="60"/>
      <c r="J3" s="59"/>
      <c r="K3" s="60" t="s">
        <v>112</v>
      </c>
    </row>
    <row r="4" spans="1:14" ht="13.5" thickBot="1">
      <c r="A4" s="62"/>
      <c r="B4" s="58"/>
    </row>
    <row r="5" spans="1:14" ht="16.5" thickBot="1">
      <c r="A5" s="250" t="s">
        <v>0</v>
      </c>
      <c r="B5" s="253" t="s">
        <v>1</v>
      </c>
      <c r="C5" s="256" t="s">
        <v>100</v>
      </c>
      <c r="D5" s="257"/>
      <c r="E5" s="258"/>
      <c r="F5" s="257" t="s">
        <v>101</v>
      </c>
      <c r="G5" s="257"/>
      <c r="H5" s="258"/>
      <c r="I5" s="256" t="s">
        <v>102</v>
      </c>
      <c r="J5" s="257"/>
      <c r="K5" s="258"/>
    </row>
    <row r="6" spans="1:14" ht="13.5" customHeight="1">
      <c r="A6" s="251"/>
      <c r="B6" s="254"/>
      <c r="C6" s="259" t="s">
        <v>104</v>
      </c>
      <c r="D6" s="260"/>
      <c r="E6" s="261"/>
      <c r="F6" s="265" t="s">
        <v>105</v>
      </c>
      <c r="G6" s="260"/>
      <c r="H6" s="261"/>
      <c r="I6" s="259" t="s">
        <v>106</v>
      </c>
      <c r="J6" s="260"/>
      <c r="K6" s="261"/>
    </row>
    <row r="7" spans="1:14" ht="27" customHeight="1" thickBot="1">
      <c r="A7" s="251"/>
      <c r="B7" s="254"/>
      <c r="C7" s="262"/>
      <c r="D7" s="263"/>
      <c r="E7" s="264"/>
      <c r="F7" s="263"/>
      <c r="G7" s="263"/>
      <c r="H7" s="264"/>
      <c r="I7" s="262"/>
      <c r="J7" s="263"/>
      <c r="K7" s="264"/>
    </row>
    <row r="8" spans="1:14" ht="20.25" customHeight="1">
      <c r="A8" s="251"/>
      <c r="B8" s="254"/>
      <c r="C8" s="237" t="s">
        <v>115</v>
      </c>
      <c r="D8" s="239" t="s">
        <v>109</v>
      </c>
      <c r="E8" s="231" t="s">
        <v>110</v>
      </c>
      <c r="F8" s="237" t="s">
        <v>115</v>
      </c>
      <c r="G8" s="239" t="s">
        <v>109</v>
      </c>
      <c r="H8" s="231" t="s">
        <v>110</v>
      </c>
      <c r="I8" s="237" t="s">
        <v>115</v>
      </c>
      <c r="J8" s="239" t="s">
        <v>109</v>
      </c>
      <c r="K8" s="231" t="s">
        <v>110</v>
      </c>
      <c r="L8" s="237"/>
      <c r="M8" s="239"/>
      <c r="N8" s="231"/>
    </row>
    <row r="9" spans="1:14" ht="43.5" customHeight="1" thickBot="1">
      <c r="A9" s="252"/>
      <c r="B9" s="255"/>
      <c r="C9" s="238"/>
      <c r="D9" s="240"/>
      <c r="E9" s="232"/>
      <c r="F9" s="238"/>
      <c r="G9" s="240"/>
      <c r="H9" s="232"/>
      <c r="I9" s="238"/>
      <c r="J9" s="240"/>
      <c r="K9" s="232"/>
      <c r="L9" s="238"/>
      <c r="M9" s="240"/>
      <c r="N9" s="232"/>
    </row>
    <row r="10" spans="1:14" ht="16.5" thickBot="1">
      <c r="A10" s="266" t="s">
        <v>2</v>
      </c>
      <c r="B10" s="267"/>
      <c r="C10" s="64">
        <v>91</v>
      </c>
      <c r="D10" s="65">
        <f>C10+1</f>
        <v>92</v>
      </c>
      <c r="E10" s="66">
        <f t="shared" ref="E10:K10" si="0">D10+1</f>
        <v>93</v>
      </c>
      <c r="F10" s="67">
        <f t="shared" si="0"/>
        <v>94</v>
      </c>
      <c r="G10" s="65">
        <f t="shared" si="0"/>
        <v>95</v>
      </c>
      <c r="H10" s="66">
        <f t="shared" si="0"/>
        <v>96</v>
      </c>
      <c r="I10" s="64">
        <f t="shared" si="0"/>
        <v>97</v>
      </c>
      <c r="J10" s="65">
        <f t="shared" si="0"/>
        <v>98</v>
      </c>
      <c r="K10" s="66">
        <f t="shared" si="0"/>
        <v>99</v>
      </c>
    </row>
    <row r="11" spans="1:14" ht="15.75">
      <c r="A11" s="1">
        <v>1</v>
      </c>
      <c r="B11" s="21" t="s">
        <v>3</v>
      </c>
      <c r="C11" s="68">
        <f>SUM('ERISZ+SZOGYESZ'!C11+'ERISZ+SZOGYESZ'!F11+'ERISZ+SZOGYESZ'!I11+'ERISZ+SZOGYESZ'!L11)</f>
        <v>217080</v>
      </c>
      <c r="D11" s="69">
        <f>SUM('ERISZ+SZOGYESZ'!D11+'ERISZ+SZOGYESZ'!G11+'ERISZ+SZOGYESZ'!J11+'ERISZ+SZOGYESZ'!M11)</f>
        <v>1089</v>
      </c>
      <c r="E11" s="69">
        <f>SUM('ERISZ+SZOGYESZ'!E11+'ERISZ+SZOGYESZ'!H11+'ERISZ+SZOGYESZ'!K11+'ERISZ+SZOGYESZ'!N11)</f>
        <v>218169</v>
      </c>
      <c r="F11" s="69">
        <f>111581+499-708+4110</f>
        <v>115482</v>
      </c>
      <c r="G11" s="69">
        <f>-708-3607-600</f>
        <v>-4915</v>
      </c>
      <c r="H11" s="179">
        <f>SUM(F11:G11)</f>
        <v>110567</v>
      </c>
      <c r="I11" s="70">
        <f>SUM(ERISZ1!R11+'SZOGYESZ+ERESZ+ERISZ'!C11+'SZOGYESZ+ERESZ+ERISZ'!F11)</f>
        <v>656828</v>
      </c>
      <c r="J11" s="69">
        <f>SUM(ERISZ1!S11,'SZOGYESZ+ERESZ+ERISZ'!D11,'SZOGYESZ+ERESZ+ERISZ'!G11)</f>
        <v>-9284</v>
      </c>
      <c r="K11" s="166">
        <f>SUM(ERISZ1!T11+'SZOGYESZ+ERESZ+ERISZ'!E11+'SZOGYESZ+ERESZ+ERISZ'!H11)</f>
        <v>647544</v>
      </c>
    </row>
    <row r="12" spans="1:14" ht="15.75">
      <c r="A12" s="2">
        <v>2</v>
      </c>
      <c r="B12" s="15" t="s">
        <v>4</v>
      </c>
      <c r="C12" s="72">
        <f>SUM('ERISZ+SZOGYESZ'!C12+'ERISZ+SZOGYESZ'!F12+'ERISZ+SZOGYESZ'!I12+'ERISZ+SZOGYESZ'!L12)</f>
        <v>54776</v>
      </c>
      <c r="D12" s="73">
        <f>SUM('ERISZ+SZOGYESZ'!D12+'ERISZ+SZOGYESZ'!G12+'ERISZ+SZOGYESZ'!J12+'ERISZ+SZOGYESZ'!M12)</f>
        <v>294</v>
      </c>
      <c r="E12" s="162">
        <f>SUM('ERISZ+SZOGYESZ'!E12+'ERISZ+SZOGYESZ'!H12+'ERISZ+SZOGYESZ'!K12+'ERISZ+SZOGYESZ'!N12)</f>
        <v>55070</v>
      </c>
      <c r="F12" s="73">
        <f>33443+135-192+1005</f>
        <v>34391</v>
      </c>
      <c r="G12" s="73">
        <f>-192-1939-162</f>
        <v>-2293</v>
      </c>
      <c r="H12" s="166">
        <f t="shared" ref="H12:H64" si="1">SUM(F12:G12)</f>
        <v>32098</v>
      </c>
      <c r="I12" s="74">
        <f>SUM(ERISZ1!R12+'SZOGYESZ+ERESZ+ERISZ'!C12+'SZOGYESZ+ERESZ+ERISZ'!F12)</f>
        <v>173405</v>
      </c>
      <c r="J12" s="73">
        <f>SUM(ERISZ1!S12,'SZOGYESZ+ERESZ+ERISZ'!D12,'SZOGYESZ+ERESZ+ERISZ'!G12)</f>
        <v>-3479</v>
      </c>
      <c r="K12" s="166">
        <f>SUM(ERISZ1!T12+'SZOGYESZ+ERESZ+ERISZ'!E12+'SZOGYESZ+ERESZ+ERISZ'!H12)</f>
        <v>169926</v>
      </c>
    </row>
    <row r="13" spans="1:14" ht="15.75">
      <c r="A13" s="2">
        <v>3</v>
      </c>
      <c r="B13" s="22" t="s">
        <v>5</v>
      </c>
      <c r="C13" s="76">
        <f>SUM('ERISZ+SZOGYESZ'!C13+'ERISZ+SZOGYESZ'!F13+'ERISZ+SZOGYESZ'!I13+'ERISZ+SZOGYESZ'!L13)</f>
        <v>71390</v>
      </c>
      <c r="D13" s="73">
        <f>SUM('ERISZ+SZOGYESZ'!D13+'ERISZ+SZOGYESZ'!G13+'ERISZ+SZOGYESZ'!J13+'ERISZ+SZOGYESZ'!M13)</f>
        <v>1600</v>
      </c>
      <c r="E13" s="162">
        <f>SUM('ERISZ+SZOGYESZ'!E13+'ERISZ+SZOGYESZ'!H13+'ERISZ+SZOGYESZ'!K13+'ERISZ+SZOGYESZ'!N13)</f>
        <v>72990</v>
      </c>
      <c r="F13" s="73">
        <f>104253+900+30</f>
        <v>105183</v>
      </c>
      <c r="G13" s="73">
        <f>900-1547</f>
        <v>-647</v>
      </c>
      <c r="H13" s="167">
        <f t="shared" si="1"/>
        <v>104536</v>
      </c>
      <c r="I13" s="77">
        <f>SUM(ERISZ1!R13+'SZOGYESZ+ERESZ+ERISZ'!C13+'SZOGYESZ+ERESZ+ERISZ'!F13)</f>
        <v>443982</v>
      </c>
      <c r="J13" s="73">
        <f>SUM(ERISZ1!S13,'SZOGYESZ+ERESZ+ERISZ'!D13,'SZOGYESZ+ERESZ+ERISZ'!G13)</f>
        <v>4750</v>
      </c>
      <c r="K13" s="167">
        <f>SUM(ERISZ1!T13+'SZOGYESZ+ERESZ+ERISZ'!E13+'SZOGYESZ+ERESZ+ERISZ'!H13)</f>
        <v>448732</v>
      </c>
    </row>
    <row r="14" spans="1:14" ht="15.75">
      <c r="A14" s="3">
        <v>4</v>
      </c>
      <c r="B14" s="23" t="s">
        <v>6</v>
      </c>
      <c r="C14" s="68">
        <f>SUM('ERISZ+SZOGYESZ'!C14+'ERISZ+SZOGYESZ'!F14+'ERISZ+SZOGYESZ'!I14+'ERISZ+SZOGYESZ'!L14)</f>
        <v>2346</v>
      </c>
      <c r="D14" s="79">
        <f>SUM('ERISZ+SZOGYESZ'!D14+'ERISZ+SZOGYESZ'!G14+'ERISZ+SZOGYESZ'!J14+'ERISZ+SZOGYESZ'!M14)</f>
        <v>0</v>
      </c>
      <c r="E14" s="162">
        <f>SUM('ERISZ+SZOGYESZ'!E14+'ERISZ+SZOGYESZ'!H14+'ERISZ+SZOGYESZ'!K14+'ERISZ+SZOGYESZ'!N14)</f>
        <v>2346</v>
      </c>
      <c r="F14" s="79">
        <f>2722+124</f>
        <v>2846</v>
      </c>
      <c r="G14" s="79">
        <f>230-230</f>
        <v>0</v>
      </c>
      <c r="H14" s="166">
        <f t="shared" si="1"/>
        <v>2846</v>
      </c>
      <c r="I14" s="70">
        <f>SUM(ERISZ1!R14+'SZOGYESZ+ERESZ+ERISZ'!C14+'SZOGYESZ+ERESZ+ERISZ'!F14)</f>
        <v>20460</v>
      </c>
      <c r="J14" s="79">
        <f>SUM(ERISZ1!S14,'SZOGYESZ+ERESZ+ERISZ'!D14,'SZOGYESZ+ERESZ+ERISZ'!G14)</f>
        <v>4017</v>
      </c>
      <c r="K14" s="166">
        <f>SUM(ERISZ1!T14+'SZOGYESZ+ERESZ+ERISZ'!E14+'SZOGYESZ+ERESZ+ERISZ'!H14)</f>
        <v>24477</v>
      </c>
    </row>
    <row r="15" spans="1:14" ht="15.75">
      <c r="A15" s="2">
        <v>5</v>
      </c>
      <c r="B15" s="24" t="s">
        <v>7</v>
      </c>
      <c r="C15" s="80">
        <f>SUM('ERISZ+SZOGYESZ'!C15+'ERISZ+SZOGYESZ'!F15+'ERISZ+SZOGYESZ'!I15+'ERISZ+SZOGYESZ'!L15)</f>
        <v>73736</v>
      </c>
      <c r="D15" s="79">
        <f>SUM('ERISZ+SZOGYESZ'!D15+'ERISZ+SZOGYESZ'!G15+'ERISZ+SZOGYESZ'!J15+'ERISZ+SZOGYESZ'!M15)</f>
        <v>1600</v>
      </c>
      <c r="E15" s="162">
        <f>SUM('ERISZ+SZOGYESZ'!E15+'ERISZ+SZOGYESZ'!H15+'ERISZ+SZOGYESZ'!K15+'ERISZ+SZOGYESZ'!N15)</f>
        <v>75336</v>
      </c>
      <c r="F15" s="79">
        <f>SUM(F13:F14)</f>
        <v>108029</v>
      </c>
      <c r="G15" s="79">
        <f>SUM(G13:G14)</f>
        <v>-647</v>
      </c>
      <c r="H15" s="165">
        <f t="shared" si="1"/>
        <v>107382</v>
      </c>
      <c r="I15" s="81">
        <f>SUM(ERISZ1!R15+'SZOGYESZ+ERESZ+ERISZ'!C15+'SZOGYESZ+ERESZ+ERISZ'!F15)</f>
        <v>464442</v>
      </c>
      <c r="J15" s="79">
        <f>SUM(ERISZ1!S15,'SZOGYESZ+ERESZ+ERISZ'!D15,'SZOGYESZ+ERESZ+ERISZ'!G15)</f>
        <v>8767</v>
      </c>
      <c r="K15" s="165">
        <f>SUM(ERISZ1!T15+'SZOGYESZ+ERESZ+ERISZ'!E15+'SZOGYESZ+ERESZ+ERISZ'!H15)</f>
        <v>473209</v>
      </c>
    </row>
    <row r="16" spans="1:14" ht="16.5" thickBot="1">
      <c r="A16" s="4">
        <v>6</v>
      </c>
      <c r="B16" s="16" t="s">
        <v>8</v>
      </c>
      <c r="C16" s="83">
        <f>SUM('ERISZ+SZOGYESZ'!C16+'ERISZ+SZOGYESZ'!F16+'ERISZ+SZOGYESZ'!I16+'ERISZ+SZOGYESZ'!L16)</f>
        <v>15009</v>
      </c>
      <c r="D16" s="84">
        <f>SUM('ERISZ+SZOGYESZ'!D16+'ERISZ+SZOGYESZ'!G16+'ERISZ+SZOGYESZ'!J16+'ERISZ+SZOGYESZ'!M16)</f>
        <v>0</v>
      </c>
      <c r="E16" s="163">
        <f>SUM('ERISZ+SZOGYESZ'!E16+'ERISZ+SZOGYESZ'!H16+'ERISZ+SZOGYESZ'!K16+'ERISZ+SZOGYESZ'!N16)</f>
        <v>15009</v>
      </c>
      <c r="F16" s="84"/>
      <c r="G16" s="84"/>
      <c r="H16" s="165">
        <f t="shared" si="1"/>
        <v>0</v>
      </c>
      <c r="I16" s="85">
        <f>SUM(ERISZ1!R16+'SZOGYESZ+ERESZ+ERISZ'!C16+'SZOGYESZ+ERESZ+ERISZ'!F16)</f>
        <v>148783</v>
      </c>
      <c r="J16" s="84">
        <f>SUM(ERISZ1!S16,'SZOGYESZ+ERESZ+ERISZ'!D16,'SZOGYESZ+ERESZ+ERISZ'!G16)</f>
        <v>0</v>
      </c>
      <c r="K16" s="165">
        <f>SUM(ERISZ1!T16+'SZOGYESZ+ERESZ+ERISZ'!E16+'SZOGYESZ+ERESZ+ERISZ'!H16)</f>
        <v>148783</v>
      </c>
    </row>
    <row r="17" spans="1:11" ht="16.5" thickBot="1">
      <c r="A17" s="5">
        <v>7</v>
      </c>
      <c r="B17" s="20" t="s">
        <v>9</v>
      </c>
      <c r="C17" s="86">
        <f>SUM('ERISZ+SZOGYESZ'!C17+'ERISZ+SZOGYESZ'!F17+'ERISZ+SZOGYESZ'!I17+'ERISZ+SZOGYESZ'!L17)</f>
        <v>345592</v>
      </c>
      <c r="D17" s="87">
        <f>SUM('ERISZ+SZOGYESZ'!D17+'ERISZ+SZOGYESZ'!G17+'ERISZ+SZOGYESZ'!J17+'ERISZ+SZOGYESZ'!M17)</f>
        <v>2983</v>
      </c>
      <c r="E17" s="164">
        <f>SUM('ERISZ+SZOGYESZ'!E17+'ERISZ+SZOGYESZ'!H17+'ERISZ+SZOGYESZ'!K17+'ERISZ+SZOGYESZ'!N17)</f>
        <v>348575</v>
      </c>
      <c r="F17" s="87">
        <f>F11+F12+F15</f>
        <v>257902</v>
      </c>
      <c r="G17" s="87">
        <f>G11+G12+G15</f>
        <v>-7855</v>
      </c>
      <c r="H17" s="168">
        <f t="shared" si="1"/>
        <v>250047</v>
      </c>
      <c r="I17" s="86">
        <f>SUM(ERISZ1!R17+'SZOGYESZ+ERESZ+ERISZ'!C17+'SZOGYESZ+ERESZ+ERISZ'!F17)</f>
        <v>1294675</v>
      </c>
      <c r="J17" s="87">
        <f>SUM(ERISZ1!S17,'SZOGYESZ+ERESZ+ERISZ'!D17,'SZOGYESZ+ERESZ+ERISZ'!G17)</f>
        <v>-3996</v>
      </c>
      <c r="K17" s="168">
        <f>SUM(ERISZ1!T17+'SZOGYESZ+ERESZ+ERISZ'!E17+'SZOGYESZ+ERESZ+ERISZ'!H17)</f>
        <v>1290679</v>
      </c>
    </row>
    <row r="18" spans="1:11" ht="15.75">
      <c r="A18" s="6">
        <v>8</v>
      </c>
      <c r="B18" s="13" t="s">
        <v>10</v>
      </c>
      <c r="C18" s="89">
        <f>SUM('ERISZ+SZOGYESZ'!C18+'ERISZ+SZOGYESZ'!F18+'ERISZ+SZOGYESZ'!I18+'ERISZ+SZOGYESZ'!L18)</f>
        <v>0</v>
      </c>
      <c r="D18" s="90">
        <f>SUM('ERISZ+SZOGYESZ'!D18+'ERISZ+SZOGYESZ'!G18+'ERISZ+SZOGYESZ'!J18+'ERISZ+SZOGYESZ'!M18)</f>
        <v>0</v>
      </c>
      <c r="E18" s="165">
        <f>SUM('ERISZ+SZOGYESZ'!E18+'ERISZ+SZOGYESZ'!H18+'ERISZ+SZOGYESZ'!K18+'ERISZ+SZOGYESZ'!N18)</f>
        <v>0</v>
      </c>
      <c r="F18" s="90"/>
      <c r="G18" s="90"/>
      <c r="H18" s="165">
        <f t="shared" si="1"/>
        <v>0</v>
      </c>
      <c r="I18" s="89">
        <f>SUM(ERISZ1!R18+'SZOGYESZ+ERESZ+ERISZ'!C18+'SZOGYESZ+ERESZ+ERISZ'!F18)</f>
        <v>0</v>
      </c>
      <c r="J18" s="90">
        <f>SUM(ERISZ1!S18,'SZOGYESZ+ERESZ+ERISZ'!D18,'SZOGYESZ+ERESZ+ERISZ'!G18)</f>
        <v>0</v>
      </c>
      <c r="K18" s="165">
        <f>SUM(ERISZ1!T18+'SZOGYESZ+ERESZ+ERISZ'!E18+'SZOGYESZ+ERESZ+ERISZ'!H18)</f>
        <v>0</v>
      </c>
    </row>
    <row r="19" spans="1:11" ht="15.75">
      <c r="A19" s="2">
        <v>9</v>
      </c>
      <c r="B19" s="15" t="s">
        <v>11</v>
      </c>
      <c r="C19" s="91">
        <f>SUM('ERISZ+SZOGYESZ'!C19+'ERISZ+SZOGYESZ'!F19+'ERISZ+SZOGYESZ'!I19+'ERISZ+SZOGYESZ'!L19)</f>
        <v>0</v>
      </c>
      <c r="D19" s="73">
        <f>SUM('ERISZ+SZOGYESZ'!D19+'ERISZ+SZOGYESZ'!G19+'ERISZ+SZOGYESZ'!J19+'ERISZ+SZOGYESZ'!M19)</f>
        <v>0</v>
      </c>
      <c r="E19" s="166">
        <f>SUM('ERISZ+SZOGYESZ'!E19+'ERISZ+SZOGYESZ'!H19+'ERISZ+SZOGYESZ'!K19+'ERISZ+SZOGYESZ'!N19)</f>
        <v>0</v>
      </c>
      <c r="F19" s="73"/>
      <c r="G19" s="73"/>
      <c r="H19" s="166">
        <f t="shared" si="1"/>
        <v>0</v>
      </c>
      <c r="I19" s="91">
        <f>SUM(ERISZ1!R19+'SZOGYESZ+ERESZ+ERISZ'!C19+'SZOGYESZ+ERESZ+ERISZ'!F19)</f>
        <v>0</v>
      </c>
      <c r="J19" s="73">
        <f>SUM(ERISZ1!S19,'SZOGYESZ+ERESZ+ERISZ'!D19,'SZOGYESZ+ERESZ+ERISZ'!G19)</f>
        <v>0</v>
      </c>
      <c r="K19" s="166">
        <f>SUM(ERISZ1!T19+'SZOGYESZ+ERESZ+ERISZ'!E19+'SZOGYESZ+ERESZ+ERISZ'!H19)</f>
        <v>0</v>
      </c>
    </row>
    <row r="20" spans="1:11" ht="15.75">
      <c r="A20" s="6">
        <v>10</v>
      </c>
      <c r="B20" s="13" t="s">
        <v>12</v>
      </c>
      <c r="C20" s="89">
        <f>SUM('ERISZ+SZOGYESZ'!C20+'ERISZ+SZOGYESZ'!F20+'ERISZ+SZOGYESZ'!I20+'ERISZ+SZOGYESZ'!L20)</f>
        <v>14003</v>
      </c>
      <c r="D20" s="90">
        <f>SUM('ERISZ+SZOGYESZ'!D20+'ERISZ+SZOGYESZ'!G20+'ERISZ+SZOGYESZ'!J20+'ERISZ+SZOGYESZ'!M20)</f>
        <v>0</v>
      </c>
      <c r="E20" s="165">
        <f>SUM('ERISZ+SZOGYESZ'!E20+'ERISZ+SZOGYESZ'!H20+'ERISZ+SZOGYESZ'!K20+'ERISZ+SZOGYESZ'!N20)</f>
        <v>14003</v>
      </c>
      <c r="F20" s="90"/>
      <c r="G20" s="90"/>
      <c r="H20" s="165">
        <f t="shared" si="1"/>
        <v>0</v>
      </c>
      <c r="I20" s="89">
        <f>SUM(ERISZ1!R20+'SZOGYESZ+ERESZ+ERISZ'!C20+'SZOGYESZ+ERESZ+ERISZ'!F20)</f>
        <v>78420</v>
      </c>
      <c r="J20" s="90">
        <f>SUM(ERISZ1!S20,'SZOGYESZ+ERESZ+ERISZ'!D20,'SZOGYESZ+ERESZ+ERISZ'!G20)</f>
        <v>0</v>
      </c>
      <c r="K20" s="165">
        <f>SUM(ERISZ1!T20+'SZOGYESZ+ERESZ+ERISZ'!E20+'SZOGYESZ+ERESZ+ERISZ'!H20)</f>
        <v>78420</v>
      </c>
    </row>
    <row r="21" spans="1:11" ht="15.75">
      <c r="A21" s="2">
        <v>11</v>
      </c>
      <c r="B21" s="25" t="s">
        <v>116</v>
      </c>
      <c r="C21" s="91">
        <f>SUM('ERISZ+SZOGYESZ'!C21+'ERISZ+SZOGYESZ'!F21+'ERISZ+SZOGYESZ'!I21+'ERISZ+SZOGYESZ'!L21)</f>
        <v>0</v>
      </c>
      <c r="D21" s="84">
        <f>SUM('ERISZ+SZOGYESZ'!D21+'ERISZ+SZOGYESZ'!G21+'ERISZ+SZOGYESZ'!J21+'ERISZ+SZOGYESZ'!M21)</f>
        <v>0</v>
      </c>
      <c r="E21" s="166">
        <f>SUM('ERISZ+SZOGYESZ'!E21+'ERISZ+SZOGYESZ'!H21+'ERISZ+SZOGYESZ'!K21+'ERISZ+SZOGYESZ'!N21)</f>
        <v>0</v>
      </c>
      <c r="F21" s="84"/>
      <c r="G21" s="84"/>
      <c r="H21" s="166">
        <f t="shared" si="1"/>
        <v>0</v>
      </c>
      <c r="I21" s="91">
        <f>SUM(ERISZ1!R21+'SZOGYESZ+ERESZ+ERISZ'!C21+'SZOGYESZ+ERESZ+ERISZ'!F21)</f>
        <v>0</v>
      </c>
      <c r="J21" s="84">
        <f>SUM(ERISZ1!S21,'SZOGYESZ+ERESZ+ERISZ'!D21,'SZOGYESZ+ERESZ+ERISZ'!G21)</f>
        <v>0</v>
      </c>
      <c r="K21" s="166">
        <f>SUM(ERISZ1!T21+'SZOGYESZ+ERESZ+ERISZ'!E21+'SZOGYESZ+ERESZ+ERISZ'!H21)</f>
        <v>0</v>
      </c>
    </row>
    <row r="22" spans="1:11" ht="16.5" thickBot="1">
      <c r="A22" s="1">
        <v>12</v>
      </c>
      <c r="B22" s="26" t="s">
        <v>117</v>
      </c>
      <c r="C22" s="92">
        <f>SUM('ERISZ+SZOGYESZ'!C22+'ERISZ+SZOGYESZ'!F22+'ERISZ+SZOGYESZ'!I22+'ERISZ+SZOGYESZ'!L22)</f>
        <v>0</v>
      </c>
      <c r="D22" s="93">
        <f>SUM('ERISZ+SZOGYESZ'!D22+'ERISZ+SZOGYESZ'!G22+'ERISZ+SZOGYESZ'!J22+'ERISZ+SZOGYESZ'!M22)</f>
        <v>0</v>
      </c>
      <c r="E22" s="167">
        <f>SUM('ERISZ+SZOGYESZ'!E22+'ERISZ+SZOGYESZ'!H22+'ERISZ+SZOGYESZ'!K22+'ERISZ+SZOGYESZ'!N22)</f>
        <v>0</v>
      </c>
      <c r="F22" s="93"/>
      <c r="G22" s="93"/>
      <c r="H22" s="167">
        <f t="shared" si="1"/>
        <v>0</v>
      </c>
      <c r="I22" s="92">
        <f>SUM(ERISZ1!R22+'SZOGYESZ+ERESZ+ERISZ'!C22+'SZOGYESZ+ERESZ+ERISZ'!F22)</f>
        <v>0</v>
      </c>
      <c r="J22" s="93">
        <f>SUM(ERISZ1!S22,'SZOGYESZ+ERESZ+ERISZ'!D22,'SZOGYESZ+ERESZ+ERISZ'!G22)</f>
        <v>0</v>
      </c>
      <c r="K22" s="167">
        <f>SUM(ERISZ1!T22+'SZOGYESZ+ERESZ+ERISZ'!E22+'SZOGYESZ+ERESZ+ERISZ'!H22)</f>
        <v>0</v>
      </c>
    </row>
    <row r="23" spans="1:11" ht="16.5" thickBot="1">
      <c r="A23" s="5">
        <v>13</v>
      </c>
      <c r="B23" s="27" t="s">
        <v>13</v>
      </c>
      <c r="C23" s="86">
        <f>SUM('ERISZ+SZOGYESZ'!C23+'ERISZ+SZOGYESZ'!F23+'ERISZ+SZOGYESZ'!I23+'ERISZ+SZOGYESZ'!L23)</f>
        <v>14003</v>
      </c>
      <c r="D23" s="87">
        <f>SUM('ERISZ+SZOGYESZ'!D23+'ERISZ+SZOGYESZ'!G23+'ERISZ+SZOGYESZ'!J23+'ERISZ+SZOGYESZ'!M23)</f>
        <v>0</v>
      </c>
      <c r="E23" s="168">
        <f>SUM('ERISZ+SZOGYESZ'!E23+'ERISZ+SZOGYESZ'!H23+'ERISZ+SZOGYESZ'!K23+'ERISZ+SZOGYESZ'!N23)</f>
        <v>14003</v>
      </c>
      <c r="F23" s="87">
        <f>F18+F19+F20+F21+F22</f>
        <v>0</v>
      </c>
      <c r="G23" s="87">
        <f>G18+G19+G20+G21+G22</f>
        <v>0</v>
      </c>
      <c r="H23" s="168">
        <f t="shared" si="1"/>
        <v>0</v>
      </c>
      <c r="I23" s="86">
        <f>SUM(ERISZ1!R23+'SZOGYESZ+ERESZ+ERISZ'!C23+'SZOGYESZ+ERESZ+ERISZ'!F23)</f>
        <v>78420</v>
      </c>
      <c r="J23" s="87">
        <f>SUM(ERISZ1!S23,'SZOGYESZ+ERESZ+ERISZ'!D23,'SZOGYESZ+ERESZ+ERISZ'!G23)</f>
        <v>0</v>
      </c>
      <c r="K23" s="168">
        <f>SUM(ERISZ1!T23+'SZOGYESZ+ERESZ+ERISZ'!E23+'SZOGYESZ+ERESZ+ERISZ'!H23)</f>
        <v>78420</v>
      </c>
    </row>
    <row r="24" spans="1:11" ht="15.75">
      <c r="A24" s="6">
        <v>14</v>
      </c>
      <c r="B24" s="13" t="s">
        <v>14</v>
      </c>
      <c r="C24" s="89">
        <f>SUM('ERISZ+SZOGYESZ'!C24+'ERISZ+SZOGYESZ'!F24+'ERISZ+SZOGYESZ'!I24+'ERISZ+SZOGYESZ'!L24)</f>
        <v>0</v>
      </c>
      <c r="D24" s="90">
        <f>SUM('ERISZ+SZOGYESZ'!D24+'ERISZ+SZOGYESZ'!G24+'ERISZ+SZOGYESZ'!J24+'ERISZ+SZOGYESZ'!M24)</f>
        <v>0</v>
      </c>
      <c r="E24" s="165">
        <f>SUM('ERISZ+SZOGYESZ'!E24+'ERISZ+SZOGYESZ'!H24+'ERISZ+SZOGYESZ'!K24+'ERISZ+SZOGYESZ'!N24)</f>
        <v>0</v>
      </c>
      <c r="F24" s="90"/>
      <c r="G24" s="90"/>
      <c r="H24" s="165">
        <f t="shared" si="1"/>
        <v>0</v>
      </c>
      <c r="I24" s="89">
        <f>SUM(ERISZ1!R24+'SZOGYESZ+ERESZ+ERISZ'!C24+'SZOGYESZ+ERESZ+ERISZ'!F24)</f>
        <v>0</v>
      </c>
      <c r="J24" s="90">
        <f>SUM(ERISZ1!S24,'SZOGYESZ+ERESZ+ERISZ'!D24,'SZOGYESZ+ERESZ+ERISZ'!G24)</f>
        <v>0</v>
      </c>
      <c r="K24" s="165">
        <f>SUM(ERISZ1!T24+'SZOGYESZ+ERESZ+ERISZ'!E24+'SZOGYESZ+ERESZ+ERISZ'!H24)</f>
        <v>0</v>
      </c>
    </row>
    <row r="25" spans="1:11" ht="15.75">
      <c r="A25" s="2">
        <v>15</v>
      </c>
      <c r="B25" s="15" t="s">
        <v>15</v>
      </c>
      <c r="C25" s="91">
        <f>SUM('ERISZ+SZOGYESZ'!C25+'ERISZ+SZOGYESZ'!F25+'ERISZ+SZOGYESZ'!I25+'ERISZ+SZOGYESZ'!L25)</f>
        <v>0</v>
      </c>
      <c r="D25" s="73">
        <f>SUM('ERISZ+SZOGYESZ'!D25+'ERISZ+SZOGYESZ'!G25+'ERISZ+SZOGYESZ'!J25+'ERISZ+SZOGYESZ'!M25)</f>
        <v>0</v>
      </c>
      <c r="E25" s="165">
        <f>SUM('ERISZ+SZOGYESZ'!E25+'ERISZ+SZOGYESZ'!H25+'ERISZ+SZOGYESZ'!K25+'ERISZ+SZOGYESZ'!N25)</f>
        <v>0</v>
      </c>
      <c r="F25" s="73"/>
      <c r="G25" s="73"/>
      <c r="H25" s="165">
        <f t="shared" si="1"/>
        <v>0</v>
      </c>
      <c r="I25" s="91">
        <f>SUM(ERISZ1!R25+'SZOGYESZ+ERESZ+ERISZ'!C25+'SZOGYESZ+ERESZ+ERISZ'!F25)</f>
        <v>0</v>
      </c>
      <c r="J25" s="73">
        <f>SUM(ERISZ1!S25,'SZOGYESZ+ERESZ+ERISZ'!D25,'SZOGYESZ+ERESZ+ERISZ'!G25)</f>
        <v>0</v>
      </c>
      <c r="K25" s="165">
        <f>SUM(ERISZ1!T25+'SZOGYESZ+ERESZ+ERISZ'!E25+'SZOGYESZ+ERESZ+ERISZ'!H25)</f>
        <v>0</v>
      </c>
    </row>
    <row r="26" spans="1:11" ht="15.75">
      <c r="A26" s="6">
        <v>16</v>
      </c>
      <c r="B26" s="13" t="s">
        <v>16</v>
      </c>
      <c r="C26" s="89">
        <f>SUM('ERISZ+SZOGYESZ'!C26+'ERISZ+SZOGYESZ'!F26+'ERISZ+SZOGYESZ'!I26+'ERISZ+SZOGYESZ'!L26)</f>
        <v>0</v>
      </c>
      <c r="D26" s="90">
        <f>SUM('ERISZ+SZOGYESZ'!D26+'ERISZ+SZOGYESZ'!G26+'ERISZ+SZOGYESZ'!J26+'ERISZ+SZOGYESZ'!M26)</f>
        <v>0</v>
      </c>
      <c r="E26" s="165">
        <f>SUM('ERISZ+SZOGYESZ'!E26+'ERISZ+SZOGYESZ'!H26+'ERISZ+SZOGYESZ'!K26+'ERISZ+SZOGYESZ'!N26)</f>
        <v>0</v>
      </c>
      <c r="F26" s="90"/>
      <c r="G26" s="90"/>
      <c r="H26" s="165">
        <f t="shared" si="1"/>
        <v>0</v>
      </c>
      <c r="I26" s="89">
        <f>SUM(ERISZ1!R26+'SZOGYESZ+ERESZ+ERISZ'!C26+'SZOGYESZ+ERESZ+ERISZ'!F26)</f>
        <v>0</v>
      </c>
      <c r="J26" s="90">
        <f>SUM(ERISZ1!S26,'SZOGYESZ+ERESZ+ERISZ'!D26,'SZOGYESZ+ERESZ+ERISZ'!G26)</f>
        <v>0</v>
      </c>
      <c r="K26" s="165">
        <f>SUM(ERISZ1!T26+'SZOGYESZ+ERESZ+ERISZ'!E26+'SZOGYESZ+ERESZ+ERISZ'!H26)</f>
        <v>0</v>
      </c>
    </row>
    <row r="27" spans="1:11" ht="15.75">
      <c r="A27" s="2">
        <v>17</v>
      </c>
      <c r="B27" s="28" t="s">
        <v>17</v>
      </c>
      <c r="C27" s="91">
        <f>SUM('ERISZ+SZOGYESZ'!C27+'ERISZ+SZOGYESZ'!F27+'ERISZ+SZOGYESZ'!I27+'ERISZ+SZOGYESZ'!L27)</f>
        <v>2700</v>
      </c>
      <c r="D27" s="73">
        <f>SUM('ERISZ+SZOGYESZ'!D27+'ERISZ+SZOGYESZ'!G27+'ERISZ+SZOGYESZ'!J27+'ERISZ+SZOGYESZ'!M27)</f>
        <v>0</v>
      </c>
      <c r="E27" s="166">
        <f>SUM('ERISZ+SZOGYESZ'!E27+'ERISZ+SZOGYESZ'!H27+'ERISZ+SZOGYESZ'!K27+'ERISZ+SZOGYESZ'!N27)</f>
        <v>2700</v>
      </c>
      <c r="F27" s="73"/>
      <c r="G27" s="73"/>
      <c r="H27" s="166">
        <f t="shared" si="1"/>
        <v>0</v>
      </c>
      <c r="I27" s="91">
        <f>SUM(ERISZ1!R27+'SZOGYESZ+ERESZ+ERISZ'!C27+'SZOGYESZ+ERESZ+ERISZ'!F27)</f>
        <v>2700</v>
      </c>
      <c r="J27" s="73">
        <f>SUM(ERISZ1!S27,'SZOGYESZ+ERESZ+ERISZ'!D27,'SZOGYESZ+ERESZ+ERISZ'!G27)</f>
        <v>0</v>
      </c>
      <c r="K27" s="166">
        <f>SUM(ERISZ1!T27+'SZOGYESZ+ERESZ+ERISZ'!E27+'SZOGYESZ+ERESZ+ERISZ'!H27)</f>
        <v>2700</v>
      </c>
    </row>
    <row r="28" spans="1:11" ht="16.5" thickBot="1">
      <c r="A28" s="8">
        <v>18</v>
      </c>
      <c r="B28" s="29" t="s">
        <v>18</v>
      </c>
      <c r="C28" s="91">
        <f>SUM('ERISZ+SZOGYESZ'!C28+'ERISZ+SZOGYESZ'!F28+'ERISZ+SZOGYESZ'!I28+'ERISZ+SZOGYESZ'!L28)</f>
        <v>0</v>
      </c>
      <c r="D28" s="73">
        <f>SUM('ERISZ+SZOGYESZ'!D28+'ERISZ+SZOGYESZ'!G28+'ERISZ+SZOGYESZ'!J28+'ERISZ+SZOGYESZ'!M28)</f>
        <v>0</v>
      </c>
      <c r="E28" s="166">
        <f>SUM('ERISZ+SZOGYESZ'!E28+'ERISZ+SZOGYESZ'!H28+'ERISZ+SZOGYESZ'!K28+'ERISZ+SZOGYESZ'!N28)</f>
        <v>0</v>
      </c>
      <c r="F28" s="73"/>
      <c r="G28" s="73"/>
      <c r="H28" s="166">
        <f t="shared" si="1"/>
        <v>0</v>
      </c>
      <c r="I28" s="91">
        <f>SUM(ERISZ1!R28+'SZOGYESZ+ERESZ+ERISZ'!C28+'SZOGYESZ+ERESZ+ERISZ'!F28)</f>
        <v>0</v>
      </c>
      <c r="J28" s="73">
        <f>SUM(ERISZ1!S28,'SZOGYESZ+ERESZ+ERISZ'!D28,'SZOGYESZ+ERESZ+ERISZ'!G28)</f>
        <v>0</v>
      </c>
      <c r="K28" s="166">
        <f>SUM(ERISZ1!T28+'SZOGYESZ+ERESZ+ERISZ'!E28+'SZOGYESZ+ERESZ+ERISZ'!H28)</f>
        <v>0</v>
      </c>
    </row>
    <row r="29" spans="1:11" ht="15.75">
      <c r="A29" s="6">
        <v>19</v>
      </c>
      <c r="B29" s="13" t="s">
        <v>19</v>
      </c>
      <c r="C29" s="89">
        <f>SUM('ERISZ+SZOGYESZ'!C29+'ERISZ+SZOGYESZ'!F29+'ERISZ+SZOGYESZ'!I29+'ERISZ+SZOGYESZ'!L29)</f>
        <v>900</v>
      </c>
      <c r="D29" s="90">
        <f>SUM('ERISZ+SZOGYESZ'!D29+'ERISZ+SZOGYESZ'!G29+'ERISZ+SZOGYESZ'!J29+'ERISZ+SZOGYESZ'!M29)</f>
        <v>0</v>
      </c>
      <c r="E29" s="165">
        <f>SUM('ERISZ+SZOGYESZ'!E29+'ERISZ+SZOGYESZ'!H29+'ERISZ+SZOGYESZ'!K29+'ERISZ+SZOGYESZ'!N29)</f>
        <v>900</v>
      </c>
      <c r="F29" s="90"/>
      <c r="G29" s="90"/>
      <c r="H29" s="165">
        <f t="shared" si="1"/>
        <v>0</v>
      </c>
      <c r="I29" s="89">
        <f>SUM(ERISZ1!R29+'SZOGYESZ+ERESZ+ERISZ'!C29+'SZOGYESZ+ERESZ+ERISZ'!F29)</f>
        <v>2350</v>
      </c>
      <c r="J29" s="73">
        <f>SUM(ERISZ1!S29,'SZOGYESZ+ERESZ+ERISZ'!D29,'SZOGYESZ+ERESZ+ERISZ'!G29)</f>
        <v>116</v>
      </c>
      <c r="K29" s="165">
        <f>SUM(ERISZ1!T29+'SZOGYESZ+ERESZ+ERISZ'!E29+'SZOGYESZ+ERESZ+ERISZ'!H29)</f>
        <v>2466</v>
      </c>
    </row>
    <row r="30" spans="1:11" ht="16.5" thickBot="1">
      <c r="A30" s="3">
        <v>20</v>
      </c>
      <c r="B30" s="24" t="s">
        <v>20</v>
      </c>
      <c r="C30" s="94">
        <f>SUM('ERISZ+SZOGYESZ'!C30+'ERISZ+SZOGYESZ'!F30+'ERISZ+SZOGYESZ'!I30+'ERISZ+SZOGYESZ'!L30)</f>
        <v>0</v>
      </c>
      <c r="D30" s="95">
        <f>SUM('ERISZ+SZOGYESZ'!D30+'ERISZ+SZOGYESZ'!G30+'ERISZ+SZOGYESZ'!J30+'ERISZ+SZOGYESZ'!M30)</f>
        <v>0</v>
      </c>
      <c r="E30" s="167">
        <f>SUM('ERISZ+SZOGYESZ'!E30+'ERISZ+SZOGYESZ'!H30+'ERISZ+SZOGYESZ'!K30+'ERISZ+SZOGYESZ'!N30)</f>
        <v>0</v>
      </c>
      <c r="F30" s="95"/>
      <c r="G30" s="95"/>
      <c r="H30" s="167">
        <f t="shared" si="1"/>
        <v>0</v>
      </c>
      <c r="I30" s="94">
        <f>SUM(ERISZ1!R30+'SZOGYESZ+ERESZ+ERISZ'!C30+'SZOGYESZ+ERESZ+ERISZ'!F30)</f>
        <v>0</v>
      </c>
      <c r="J30" s="95">
        <f>SUM(ERISZ1!S30,'SZOGYESZ+ERESZ+ERISZ'!D30,'SZOGYESZ+ERESZ+ERISZ'!G30)</f>
        <v>0</v>
      </c>
      <c r="K30" s="167">
        <f>SUM(ERISZ1!T30+'SZOGYESZ+ERESZ+ERISZ'!E30+'SZOGYESZ+ERESZ+ERISZ'!H30)</f>
        <v>0</v>
      </c>
    </row>
    <row r="31" spans="1:11" ht="16.5" thickBot="1">
      <c r="A31" s="5">
        <v>21</v>
      </c>
      <c r="B31" s="20" t="s">
        <v>21</v>
      </c>
      <c r="C31" s="86">
        <f>SUM('ERISZ+SZOGYESZ'!C31+'ERISZ+SZOGYESZ'!F31+'ERISZ+SZOGYESZ'!I31+'ERISZ+SZOGYESZ'!L31)</f>
        <v>900</v>
      </c>
      <c r="D31" s="87">
        <f>SUM('ERISZ+SZOGYESZ'!D31+'ERISZ+SZOGYESZ'!G31+'ERISZ+SZOGYESZ'!J31+'ERISZ+SZOGYESZ'!M31)</f>
        <v>0</v>
      </c>
      <c r="E31" s="168">
        <f>SUM('ERISZ+SZOGYESZ'!E31+'ERISZ+SZOGYESZ'!H31+'ERISZ+SZOGYESZ'!K31+'ERISZ+SZOGYESZ'!N31)</f>
        <v>900</v>
      </c>
      <c r="F31" s="87">
        <f>SUM(F29:F30)</f>
        <v>0</v>
      </c>
      <c r="G31" s="87">
        <f>SUM(G29:G30)</f>
        <v>0</v>
      </c>
      <c r="H31" s="168">
        <f t="shared" si="1"/>
        <v>0</v>
      </c>
      <c r="I31" s="86">
        <f>SUM(ERISZ1!R31+'SZOGYESZ+ERESZ+ERISZ'!C31+'SZOGYESZ+ERESZ+ERISZ'!F31)</f>
        <v>2350</v>
      </c>
      <c r="J31" s="87">
        <f>SUM(ERISZ1!S31,'SZOGYESZ+ERESZ+ERISZ'!D31,'SZOGYESZ+ERESZ+ERISZ'!G31)</f>
        <v>116</v>
      </c>
      <c r="K31" s="168">
        <f>SUM(ERISZ1!T31+'SZOGYESZ+ERESZ+ERISZ'!E31+'SZOGYESZ+ERESZ+ERISZ'!H31)</f>
        <v>2466</v>
      </c>
    </row>
    <row r="32" spans="1:11" ht="15.75">
      <c r="A32" s="3">
        <v>22</v>
      </c>
      <c r="B32" s="24" t="s">
        <v>22</v>
      </c>
      <c r="C32" s="96">
        <f>SUM('ERISZ+SZOGYESZ'!C32+'ERISZ+SZOGYESZ'!F32+'ERISZ+SZOGYESZ'!I32+'ERISZ+SZOGYESZ'!L32)</f>
        <v>0</v>
      </c>
      <c r="D32" s="79">
        <f>SUM('ERISZ+SZOGYESZ'!D32+'ERISZ+SZOGYESZ'!G32+'ERISZ+SZOGYESZ'!J32+'ERISZ+SZOGYESZ'!M32)</f>
        <v>0</v>
      </c>
      <c r="E32" s="167">
        <f>SUM('ERISZ+SZOGYESZ'!E32+'ERISZ+SZOGYESZ'!H32+'ERISZ+SZOGYESZ'!K32+'ERISZ+SZOGYESZ'!N32)</f>
        <v>0</v>
      </c>
      <c r="F32" s="79"/>
      <c r="G32" s="79"/>
      <c r="H32" s="167">
        <f t="shared" si="1"/>
        <v>0</v>
      </c>
      <c r="I32" s="96">
        <f>SUM(ERISZ1!R32+'SZOGYESZ+ERESZ+ERISZ'!C32+'SZOGYESZ+ERESZ+ERISZ'!F32)</f>
        <v>0</v>
      </c>
      <c r="J32" s="79">
        <f>SUM(ERISZ1!S32,'SZOGYESZ+ERESZ+ERISZ'!D32,'SZOGYESZ+ERESZ+ERISZ'!G32)</f>
        <v>0</v>
      </c>
      <c r="K32" s="167">
        <f>SUM(ERISZ1!T32+'SZOGYESZ+ERESZ+ERISZ'!E32+'SZOGYESZ+ERESZ+ERISZ'!H32)</f>
        <v>0</v>
      </c>
    </row>
    <row r="33" spans="1:11" ht="15.75">
      <c r="A33" s="2">
        <v>23</v>
      </c>
      <c r="B33" s="15" t="s">
        <v>23</v>
      </c>
      <c r="C33" s="91">
        <f>SUM('ERISZ+SZOGYESZ'!C33+'ERISZ+SZOGYESZ'!F33+'ERISZ+SZOGYESZ'!I33+'ERISZ+SZOGYESZ'!L33)</f>
        <v>0</v>
      </c>
      <c r="D33" s="73">
        <f>SUM('ERISZ+SZOGYESZ'!D33+'ERISZ+SZOGYESZ'!G33+'ERISZ+SZOGYESZ'!J33+'ERISZ+SZOGYESZ'!M33)</f>
        <v>0</v>
      </c>
      <c r="E33" s="166">
        <f>SUM('ERISZ+SZOGYESZ'!E33+'ERISZ+SZOGYESZ'!H33+'ERISZ+SZOGYESZ'!K33+'ERISZ+SZOGYESZ'!N33)</f>
        <v>0</v>
      </c>
      <c r="F33" s="73"/>
      <c r="G33" s="73"/>
      <c r="H33" s="166">
        <f t="shared" si="1"/>
        <v>0</v>
      </c>
      <c r="I33" s="91">
        <f>SUM(ERISZ1!R33+'SZOGYESZ+ERESZ+ERISZ'!C33+'SZOGYESZ+ERESZ+ERISZ'!F33)</f>
        <v>0</v>
      </c>
      <c r="J33" s="73">
        <f>SUM(ERISZ1!S33,'SZOGYESZ+ERESZ+ERISZ'!D33,'SZOGYESZ+ERESZ+ERISZ'!G33)</f>
        <v>0</v>
      </c>
      <c r="K33" s="166">
        <f>SUM(ERISZ1!T33+'SZOGYESZ+ERESZ+ERISZ'!E33+'SZOGYESZ+ERESZ+ERISZ'!H33)</f>
        <v>0</v>
      </c>
    </row>
    <row r="34" spans="1:11" ht="15.75">
      <c r="A34" s="6">
        <v>24</v>
      </c>
      <c r="B34" s="13" t="s">
        <v>24</v>
      </c>
      <c r="C34" s="89">
        <f>SUM('ERISZ+SZOGYESZ'!C34+'ERISZ+SZOGYESZ'!F34+'ERISZ+SZOGYESZ'!I34+'ERISZ+SZOGYESZ'!L34)</f>
        <v>0</v>
      </c>
      <c r="D34" s="90">
        <f>SUM('ERISZ+SZOGYESZ'!D34+'ERISZ+SZOGYESZ'!G34+'ERISZ+SZOGYESZ'!J34+'ERISZ+SZOGYESZ'!M34)</f>
        <v>0</v>
      </c>
      <c r="E34" s="165">
        <f>SUM('ERISZ+SZOGYESZ'!E34+'ERISZ+SZOGYESZ'!H34+'ERISZ+SZOGYESZ'!K34+'ERISZ+SZOGYESZ'!N34)</f>
        <v>0</v>
      </c>
      <c r="F34" s="90"/>
      <c r="G34" s="90"/>
      <c r="H34" s="165">
        <f t="shared" si="1"/>
        <v>0</v>
      </c>
      <c r="I34" s="89">
        <f>SUM(ERISZ1!R34+'SZOGYESZ+ERESZ+ERISZ'!C34+'SZOGYESZ+ERESZ+ERISZ'!F34)</f>
        <v>0</v>
      </c>
      <c r="J34" s="90">
        <f>SUM(ERISZ1!S34,'SZOGYESZ+ERESZ+ERISZ'!D34,'SZOGYESZ+ERESZ+ERISZ'!G34)</f>
        <v>0</v>
      </c>
      <c r="K34" s="165">
        <f>SUM(ERISZ1!T34+'SZOGYESZ+ERESZ+ERISZ'!E34+'SZOGYESZ+ERESZ+ERISZ'!H34)</f>
        <v>0</v>
      </c>
    </row>
    <row r="35" spans="1:11" ht="16.5" thickBot="1">
      <c r="A35" s="2">
        <v>25</v>
      </c>
      <c r="B35" s="15" t="s">
        <v>25</v>
      </c>
      <c r="C35" s="91">
        <f>SUM('ERISZ+SZOGYESZ'!C35+'ERISZ+SZOGYESZ'!F35+'ERISZ+SZOGYESZ'!I35+'ERISZ+SZOGYESZ'!L35)</f>
        <v>0</v>
      </c>
      <c r="D35" s="73">
        <f>SUM('ERISZ+SZOGYESZ'!D35+'ERISZ+SZOGYESZ'!G35+'ERISZ+SZOGYESZ'!J35+'ERISZ+SZOGYESZ'!M35)</f>
        <v>0</v>
      </c>
      <c r="E35" s="165">
        <f>SUM('ERISZ+SZOGYESZ'!E35+'ERISZ+SZOGYESZ'!H35+'ERISZ+SZOGYESZ'!K35+'ERISZ+SZOGYESZ'!N35)</f>
        <v>0</v>
      </c>
      <c r="F35" s="73"/>
      <c r="G35" s="73"/>
      <c r="H35" s="165">
        <f t="shared" si="1"/>
        <v>0</v>
      </c>
      <c r="I35" s="91">
        <f>SUM(ERISZ1!R35+'SZOGYESZ+ERESZ+ERISZ'!C35+'SZOGYESZ+ERESZ+ERISZ'!F35)</f>
        <v>0</v>
      </c>
      <c r="J35" s="73">
        <f>SUM(ERISZ1!S35,'SZOGYESZ+ERESZ+ERISZ'!D35,'SZOGYESZ+ERESZ+ERISZ'!G35)</f>
        <v>0</v>
      </c>
      <c r="K35" s="165">
        <f>SUM(ERISZ1!T35+'SZOGYESZ+ERESZ+ERISZ'!E35+'SZOGYESZ+ERESZ+ERISZ'!H35)</f>
        <v>0</v>
      </c>
    </row>
    <row r="36" spans="1:11" ht="16.5" thickBot="1">
      <c r="A36" s="5">
        <v>26</v>
      </c>
      <c r="B36" s="20" t="s">
        <v>45</v>
      </c>
      <c r="C36" s="86">
        <f>SUM('ERISZ+SZOGYESZ'!C36+'ERISZ+SZOGYESZ'!F36+'ERISZ+SZOGYESZ'!I36+'ERISZ+SZOGYESZ'!L36)</f>
        <v>363195</v>
      </c>
      <c r="D36" s="87">
        <f>SUM('ERISZ+SZOGYESZ'!D36+'ERISZ+SZOGYESZ'!G36+'ERISZ+SZOGYESZ'!J36+'ERISZ+SZOGYESZ'!M36)</f>
        <v>2983</v>
      </c>
      <c r="E36" s="168">
        <f>SUM('ERISZ+SZOGYESZ'!E36+'ERISZ+SZOGYESZ'!H36+'ERISZ+SZOGYESZ'!K36+'ERISZ+SZOGYESZ'!N36)</f>
        <v>366178</v>
      </c>
      <c r="F36" s="87">
        <f>F17+F23+F24+F25+F26+F27+F28+F31+F32+F33+F34+F35</f>
        <v>257902</v>
      </c>
      <c r="G36" s="87">
        <f>G17+G23+G24+G25+G26+G27+G28+G31+G32+G33+G34+G35</f>
        <v>-7855</v>
      </c>
      <c r="H36" s="168">
        <f t="shared" si="1"/>
        <v>250047</v>
      </c>
      <c r="I36" s="86">
        <f>SUM(ERISZ1!R36+'SZOGYESZ+ERESZ+ERISZ'!C36+'SZOGYESZ+ERESZ+ERISZ'!F36)</f>
        <v>1378145</v>
      </c>
      <c r="J36" s="87">
        <f>SUM(ERISZ1!S36,'SZOGYESZ+ERESZ+ERISZ'!D36,'SZOGYESZ+ERESZ+ERISZ'!G36)</f>
        <v>-3880</v>
      </c>
      <c r="K36" s="168">
        <f>SUM(ERISZ1!T36+'SZOGYESZ+ERESZ+ERISZ'!E36+'SZOGYESZ+ERESZ+ERISZ'!H36)</f>
        <v>1374265</v>
      </c>
    </row>
    <row r="37" spans="1:11" ht="15.75">
      <c r="A37" s="7">
        <v>27</v>
      </c>
      <c r="B37" s="30" t="s">
        <v>46</v>
      </c>
      <c r="C37" s="97">
        <f>SUM('ERISZ+SZOGYESZ'!C37+'ERISZ+SZOGYESZ'!F37+'ERISZ+SZOGYESZ'!I37+'ERISZ+SZOGYESZ'!L37)</f>
        <v>0</v>
      </c>
      <c r="D37" s="98">
        <f>SUM('ERISZ+SZOGYESZ'!D37+'ERISZ+SZOGYESZ'!G37+'ERISZ+SZOGYESZ'!J37+'ERISZ+SZOGYESZ'!M37)</f>
        <v>0</v>
      </c>
      <c r="E37" s="169">
        <f>SUM('ERISZ+SZOGYESZ'!E37+'ERISZ+SZOGYESZ'!H37+'ERISZ+SZOGYESZ'!K37+'ERISZ+SZOGYESZ'!N37)</f>
        <v>0</v>
      </c>
      <c r="F37" s="98"/>
      <c r="G37" s="98"/>
      <c r="H37" s="169">
        <f t="shared" si="1"/>
        <v>0</v>
      </c>
      <c r="I37" s="97">
        <f>SUM(ERISZ1!R37+'SZOGYESZ+ERESZ+ERISZ'!C37+'SZOGYESZ+ERESZ+ERISZ'!F37)</f>
        <v>0</v>
      </c>
      <c r="J37" s="98">
        <f>SUM(ERISZ1!S37,'SZOGYESZ+ERESZ+ERISZ'!D37,'SZOGYESZ+ERESZ+ERISZ'!G37)</f>
        <v>0</v>
      </c>
      <c r="K37" s="169">
        <f>SUM(ERISZ1!T37+'SZOGYESZ+ERESZ+ERISZ'!E37+'SZOGYESZ+ERESZ+ERISZ'!H37)</f>
        <v>0</v>
      </c>
    </row>
    <row r="38" spans="1:11" ht="15.75">
      <c r="A38" s="6">
        <v>28</v>
      </c>
      <c r="B38" s="13" t="s">
        <v>26</v>
      </c>
      <c r="C38" s="89">
        <f>SUM('ERISZ+SZOGYESZ'!C38+'ERISZ+SZOGYESZ'!F38+'ERISZ+SZOGYESZ'!I38+'ERISZ+SZOGYESZ'!L38)</f>
        <v>0</v>
      </c>
      <c r="D38" s="90">
        <f>SUM('ERISZ+SZOGYESZ'!D38+'ERISZ+SZOGYESZ'!G38+'ERISZ+SZOGYESZ'!J38+'ERISZ+SZOGYESZ'!M38)</f>
        <v>0</v>
      </c>
      <c r="E38" s="165">
        <f>SUM('ERISZ+SZOGYESZ'!E38+'ERISZ+SZOGYESZ'!H38+'ERISZ+SZOGYESZ'!K38+'ERISZ+SZOGYESZ'!N38)</f>
        <v>0</v>
      </c>
      <c r="F38" s="90"/>
      <c r="G38" s="90"/>
      <c r="H38" s="165">
        <f t="shared" si="1"/>
        <v>0</v>
      </c>
      <c r="I38" s="89">
        <f>SUM(ERISZ1!R38+'SZOGYESZ+ERESZ+ERISZ'!C38+'SZOGYESZ+ERESZ+ERISZ'!F38)</f>
        <v>0</v>
      </c>
      <c r="J38" s="90">
        <f>SUM(ERISZ1!S38,'SZOGYESZ+ERESZ+ERISZ'!D38,'SZOGYESZ+ERESZ+ERISZ'!G38)</f>
        <v>0</v>
      </c>
      <c r="K38" s="165">
        <f>SUM(ERISZ1!T38+'SZOGYESZ+ERESZ+ERISZ'!E38+'SZOGYESZ+ERESZ+ERISZ'!H38)</f>
        <v>0</v>
      </c>
    </row>
    <row r="39" spans="1:11" ht="16.5" thickBot="1">
      <c r="A39" s="3">
        <v>29</v>
      </c>
      <c r="B39" s="24" t="s">
        <v>27</v>
      </c>
      <c r="C39" s="94">
        <f>SUM('ERISZ+SZOGYESZ'!C39+'ERISZ+SZOGYESZ'!F39+'ERISZ+SZOGYESZ'!I39+'ERISZ+SZOGYESZ'!L39)</f>
        <v>0</v>
      </c>
      <c r="D39" s="95">
        <f>SUM('ERISZ+SZOGYESZ'!D39+'ERISZ+SZOGYESZ'!G39+'ERISZ+SZOGYESZ'!J39+'ERISZ+SZOGYESZ'!M39)</f>
        <v>0</v>
      </c>
      <c r="E39" s="167">
        <f>SUM('ERISZ+SZOGYESZ'!E39+'ERISZ+SZOGYESZ'!H39+'ERISZ+SZOGYESZ'!K39+'ERISZ+SZOGYESZ'!N39)</f>
        <v>0</v>
      </c>
      <c r="F39" s="95"/>
      <c r="G39" s="95"/>
      <c r="H39" s="167">
        <f t="shared" si="1"/>
        <v>0</v>
      </c>
      <c r="I39" s="94">
        <f>SUM(ERISZ1!R39+'SZOGYESZ+ERESZ+ERISZ'!C39+'SZOGYESZ+ERESZ+ERISZ'!F39)</f>
        <v>0</v>
      </c>
      <c r="J39" s="95">
        <f>SUM(ERISZ1!S39,'SZOGYESZ+ERESZ+ERISZ'!D39,'SZOGYESZ+ERESZ+ERISZ'!G39)</f>
        <v>0</v>
      </c>
      <c r="K39" s="167">
        <f>SUM(ERISZ1!T39+'SZOGYESZ+ERESZ+ERISZ'!E39+'SZOGYESZ+ERESZ+ERISZ'!H39)</f>
        <v>0</v>
      </c>
    </row>
    <row r="40" spans="1:11" ht="16.5" thickBot="1">
      <c r="A40" s="5">
        <v>30</v>
      </c>
      <c r="B40" s="20" t="s">
        <v>47</v>
      </c>
      <c r="C40" s="86">
        <f>SUM('ERISZ+SZOGYESZ'!C40+'ERISZ+SZOGYESZ'!F40+'ERISZ+SZOGYESZ'!I40+'ERISZ+SZOGYESZ'!L40)</f>
        <v>0</v>
      </c>
      <c r="D40" s="87">
        <f>SUM('ERISZ+SZOGYESZ'!D40+'ERISZ+SZOGYESZ'!G40+'ERISZ+SZOGYESZ'!J40+'ERISZ+SZOGYESZ'!M40)</f>
        <v>0</v>
      </c>
      <c r="E40" s="170">
        <f>SUM('ERISZ+SZOGYESZ'!E40+'ERISZ+SZOGYESZ'!H40+'ERISZ+SZOGYESZ'!K40+'ERISZ+SZOGYESZ'!N40)</f>
        <v>0</v>
      </c>
      <c r="F40" s="87">
        <f>SUM(F37:F39)</f>
        <v>0</v>
      </c>
      <c r="G40" s="87">
        <f>SUM(G37:G39)</f>
        <v>0</v>
      </c>
      <c r="H40" s="170">
        <f t="shared" si="1"/>
        <v>0</v>
      </c>
      <c r="I40" s="86">
        <f>SUM(ERISZ1!R40+'SZOGYESZ+ERESZ+ERISZ'!C40+'SZOGYESZ+ERESZ+ERISZ'!F40)</f>
        <v>0</v>
      </c>
      <c r="J40" s="87">
        <f>SUM(ERISZ1!S40,'SZOGYESZ+ERESZ+ERISZ'!D40,'SZOGYESZ+ERESZ+ERISZ'!G40)</f>
        <v>0</v>
      </c>
      <c r="K40" s="170">
        <f>SUM(ERISZ1!T40+'SZOGYESZ+ERESZ+ERISZ'!E40+'SZOGYESZ+ERESZ+ERISZ'!H40)</f>
        <v>0</v>
      </c>
    </row>
    <row r="41" spans="1:11" ht="16.5" thickBot="1">
      <c r="A41" s="225" t="s">
        <v>48</v>
      </c>
      <c r="B41" s="226"/>
      <c r="C41" s="101">
        <f>SUM('ERISZ+SZOGYESZ'!C41+'ERISZ+SZOGYESZ'!F41+'ERISZ+SZOGYESZ'!I41+'ERISZ+SZOGYESZ'!L41)</f>
        <v>363195</v>
      </c>
      <c r="D41" s="102">
        <f>SUM('ERISZ+SZOGYESZ'!D41+'ERISZ+SZOGYESZ'!G41+'ERISZ+SZOGYESZ'!J41+'ERISZ+SZOGYESZ'!M41)</f>
        <v>2983</v>
      </c>
      <c r="E41" s="171">
        <f>SUM('ERISZ+SZOGYESZ'!E41+'ERISZ+SZOGYESZ'!H41+'ERISZ+SZOGYESZ'!K41+'ERISZ+SZOGYESZ'!N41)</f>
        <v>366178</v>
      </c>
      <c r="F41" s="102">
        <f>F36+F40</f>
        <v>257902</v>
      </c>
      <c r="G41" s="102">
        <f>G36+G40</f>
        <v>-7855</v>
      </c>
      <c r="H41" s="171">
        <f t="shared" si="1"/>
        <v>250047</v>
      </c>
      <c r="I41" s="101">
        <f>SUM(ERISZ1!R41+'SZOGYESZ+ERESZ+ERISZ'!C41+'SZOGYESZ+ERESZ+ERISZ'!F41)</f>
        <v>1378145</v>
      </c>
      <c r="J41" s="102">
        <f>SUM(ERISZ1!S41,'SZOGYESZ+ERESZ+ERISZ'!D41,'SZOGYESZ+ERESZ+ERISZ'!G41)</f>
        <v>-3880</v>
      </c>
      <c r="K41" s="171">
        <f>SUM(ERISZ1!T41+'SZOGYESZ+ERESZ+ERISZ'!E41+'SZOGYESZ+ERESZ+ERISZ'!H41)</f>
        <v>1374265</v>
      </c>
    </row>
    <row r="42" spans="1:11" ht="17.25" thickTop="1" thickBot="1">
      <c r="A42" s="227" t="s">
        <v>28</v>
      </c>
      <c r="B42" s="228"/>
      <c r="C42" s="104"/>
      <c r="D42" s="105"/>
      <c r="E42" s="170"/>
      <c r="F42" s="105"/>
      <c r="G42" s="105"/>
      <c r="H42" s="170"/>
      <c r="I42" s="104"/>
      <c r="J42" s="105"/>
      <c r="K42" s="170"/>
    </row>
    <row r="43" spans="1:11" ht="31.5">
      <c r="A43" s="6">
        <v>31</v>
      </c>
      <c r="B43" s="12" t="s">
        <v>29</v>
      </c>
      <c r="C43" s="76">
        <f>SUM('ERISZ+SZOGYESZ'!C43+'ERISZ+SZOGYESZ'!F43+'ERISZ+SZOGYESZ'!I43+'ERISZ+SZOGYESZ'!L43)</f>
        <v>11766</v>
      </c>
      <c r="D43" s="90">
        <f>SUM('ERISZ+SZOGYESZ'!D43+'ERISZ+SZOGYESZ'!G43+'ERISZ+SZOGYESZ'!J43+'ERISZ+SZOGYESZ'!M43)</f>
        <v>0</v>
      </c>
      <c r="E43" s="172">
        <f>SUM('ERISZ+SZOGYESZ'!E43+'ERISZ+SZOGYESZ'!H43+'ERISZ+SZOGYESZ'!K43+'ERISZ+SZOGYESZ'!N43)</f>
        <v>11766</v>
      </c>
      <c r="F43" s="90">
        <v>18684</v>
      </c>
      <c r="G43" s="90"/>
      <c r="H43" s="165">
        <f t="shared" si="1"/>
        <v>18684</v>
      </c>
      <c r="I43" s="77">
        <f>SUM(ERISZ1!R43+'SZOGYESZ+ERESZ+ERISZ'!C43+'SZOGYESZ+ERESZ+ERISZ'!F43)</f>
        <v>171598</v>
      </c>
      <c r="J43" s="90">
        <f>SUM(ERISZ1!S43,'SZOGYESZ+ERESZ+ERISZ'!D43,'SZOGYESZ+ERESZ+ERISZ'!G43)</f>
        <v>0</v>
      </c>
      <c r="K43" s="165">
        <f>SUM(ERISZ1!T43+'SZOGYESZ+ERESZ+ERISZ'!E43+'SZOGYESZ+ERESZ+ERISZ'!H43)</f>
        <v>171598</v>
      </c>
    </row>
    <row r="44" spans="1:11" ht="15.75">
      <c r="A44" s="6">
        <v>32</v>
      </c>
      <c r="B44" s="13" t="s">
        <v>30</v>
      </c>
      <c r="C44" s="76">
        <f>SUM('ERISZ+SZOGYESZ'!C44+'ERISZ+SZOGYESZ'!F44+'ERISZ+SZOGYESZ'!I44+'ERISZ+SZOGYESZ'!L44)</f>
        <v>0</v>
      </c>
      <c r="D44" s="73">
        <f>SUM('ERISZ+SZOGYESZ'!D44+'ERISZ+SZOGYESZ'!G44+'ERISZ+SZOGYESZ'!J44+'ERISZ+SZOGYESZ'!M44)</f>
        <v>0</v>
      </c>
      <c r="E44" s="172">
        <f>SUM('ERISZ+SZOGYESZ'!E44+'ERISZ+SZOGYESZ'!H44+'ERISZ+SZOGYESZ'!K44+'ERISZ+SZOGYESZ'!N44)</f>
        <v>0</v>
      </c>
      <c r="F44" s="73"/>
      <c r="G44" s="73"/>
      <c r="H44" s="166">
        <f t="shared" si="1"/>
        <v>0</v>
      </c>
      <c r="I44" s="77">
        <f>SUM(ERISZ1!R44+'SZOGYESZ+ERESZ+ERISZ'!C44+'SZOGYESZ+ERESZ+ERISZ'!F44)</f>
        <v>0</v>
      </c>
      <c r="J44" s="73">
        <f>SUM(ERISZ1!S44,'SZOGYESZ+ERESZ+ERISZ'!D44,'SZOGYESZ+ERESZ+ERISZ'!G44)</f>
        <v>0</v>
      </c>
      <c r="K44" s="166">
        <f>SUM(ERISZ1!T44+'SZOGYESZ+ERESZ+ERISZ'!E44+'SZOGYESZ+ERESZ+ERISZ'!H44)</f>
        <v>0</v>
      </c>
    </row>
    <row r="45" spans="1:11" ht="31.5">
      <c r="A45" s="6">
        <v>33</v>
      </c>
      <c r="B45" s="14" t="s">
        <v>31</v>
      </c>
      <c r="C45" s="76">
        <f>SUM('ERISZ+SZOGYESZ'!C45+'ERISZ+SZOGYESZ'!F45+'ERISZ+SZOGYESZ'!I45+'ERISZ+SZOGYESZ'!L45)</f>
        <v>0</v>
      </c>
      <c r="D45" s="73">
        <f>SUM('ERISZ+SZOGYESZ'!D45+'ERISZ+SZOGYESZ'!G45+'ERISZ+SZOGYESZ'!J45+'ERISZ+SZOGYESZ'!M45)</f>
        <v>0</v>
      </c>
      <c r="E45" s="172">
        <f>SUM('ERISZ+SZOGYESZ'!E45+'ERISZ+SZOGYESZ'!H45+'ERISZ+SZOGYESZ'!K45+'ERISZ+SZOGYESZ'!N45)</f>
        <v>0</v>
      </c>
      <c r="F45" s="73"/>
      <c r="G45" s="73"/>
      <c r="H45" s="166">
        <f t="shared" si="1"/>
        <v>0</v>
      </c>
      <c r="I45" s="77">
        <f>SUM(ERISZ1!R45+'SZOGYESZ+ERESZ+ERISZ'!C45+'SZOGYESZ+ERESZ+ERISZ'!F45)</f>
        <v>0</v>
      </c>
      <c r="J45" s="73">
        <f>SUM(ERISZ1!S45,'SZOGYESZ+ERESZ+ERISZ'!D45,'SZOGYESZ+ERESZ+ERISZ'!G45)</f>
        <v>0</v>
      </c>
      <c r="K45" s="166">
        <f>SUM(ERISZ1!T45+'SZOGYESZ+ERESZ+ERISZ'!E45+'SZOGYESZ+ERESZ+ERISZ'!H45)</f>
        <v>0</v>
      </c>
    </row>
    <row r="46" spans="1:11" ht="15.75">
      <c r="A46" s="6">
        <v>34</v>
      </c>
      <c r="B46" s="15" t="s">
        <v>32</v>
      </c>
      <c r="C46" s="76">
        <f>SUM('ERISZ+SZOGYESZ'!C46+'ERISZ+SZOGYESZ'!F46+'ERISZ+SZOGYESZ'!I46+'ERISZ+SZOGYESZ'!L46)</f>
        <v>328972</v>
      </c>
      <c r="D46" s="73">
        <f>SUM('ERISZ+SZOGYESZ'!D46+'ERISZ+SZOGYESZ'!G46+'ERISZ+SZOGYESZ'!J46+'ERISZ+SZOGYESZ'!M46)</f>
        <v>1367</v>
      </c>
      <c r="E46" s="172">
        <f>SUM('ERISZ+SZOGYESZ'!E46+'ERISZ+SZOGYESZ'!H46+'ERISZ+SZOGYESZ'!K46+'ERISZ+SZOGYESZ'!N46)</f>
        <v>330339</v>
      </c>
      <c r="F46" s="73">
        <f>75746+634+614</f>
        <v>76994</v>
      </c>
      <c r="G46" s="73"/>
      <c r="H46" s="166">
        <f t="shared" si="1"/>
        <v>76994</v>
      </c>
      <c r="I46" s="77">
        <f>SUM(ERISZ1!R46+'SZOGYESZ+ERESZ+ERISZ'!C46+'SZOGYESZ+ERESZ+ERISZ'!F46)</f>
        <v>929411</v>
      </c>
      <c r="J46" s="73">
        <f>SUM(ERISZ1!S46,'SZOGYESZ+ERESZ+ERISZ'!D46,'SZOGYESZ+ERESZ+ERISZ'!G46)</f>
        <v>1251</v>
      </c>
      <c r="K46" s="166">
        <f>SUM(ERISZ1!T46+'SZOGYESZ+ERESZ+ERISZ'!E46+'SZOGYESZ+ERESZ+ERISZ'!H46)</f>
        <v>930662</v>
      </c>
    </row>
    <row r="47" spans="1:11" ht="15.75">
      <c r="A47" s="6">
        <v>35</v>
      </c>
      <c r="B47" s="15" t="s">
        <v>33</v>
      </c>
      <c r="C47" s="76">
        <f>SUM('ERISZ+SZOGYESZ'!C47+'ERISZ+SZOGYESZ'!F47+'ERISZ+SZOGYESZ'!I47+'ERISZ+SZOGYESZ'!L47)</f>
        <v>0</v>
      </c>
      <c r="D47" s="73">
        <f>SUM('ERISZ+SZOGYESZ'!D47+'ERISZ+SZOGYESZ'!G47+'ERISZ+SZOGYESZ'!J47+'ERISZ+SZOGYESZ'!M47)</f>
        <v>0</v>
      </c>
      <c r="E47" s="172">
        <f>SUM('ERISZ+SZOGYESZ'!E47+'ERISZ+SZOGYESZ'!H47+'ERISZ+SZOGYESZ'!K47+'ERISZ+SZOGYESZ'!N47)</f>
        <v>0</v>
      </c>
      <c r="F47" s="73"/>
      <c r="G47" s="73"/>
      <c r="H47" s="166">
        <f t="shared" si="1"/>
        <v>0</v>
      </c>
      <c r="I47" s="77">
        <f>SUM(ERISZ1!R47+'SZOGYESZ+ERESZ+ERISZ'!C47+'SZOGYESZ+ERESZ+ERISZ'!F47)</f>
        <v>1450</v>
      </c>
      <c r="J47" s="73">
        <f>SUM(ERISZ1!S47,'SZOGYESZ+ERESZ+ERISZ'!D47,'SZOGYESZ+ERESZ+ERISZ'!G47)</f>
        <v>116</v>
      </c>
      <c r="K47" s="166">
        <f>SUM(ERISZ1!T47+'SZOGYESZ+ERESZ+ERISZ'!E47+'SZOGYESZ+ERESZ+ERISZ'!H47)</f>
        <v>1566</v>
      </c>
    </row>
    <row r="48" spans="1:11" ht="15.75">
      <c r="A48" s="6">
        <v>36</v>
      </c>
      <c r="B48" s="15" t="s">
        <v>34</v>
      </c>
      <c r="C48" s="76">
        <f>SUM('ERISZ+SZOGYESZ'!C48+'ERISZ+SZOGYESZ'!F48+'ERISZ+SZOGYESZ'!I48+'ERISZ+SZOGYESZ'!L48)</f>
        <v>0</v>
      </c>
      <c r="D48" s="73">
        <f>SUM('ERISZ+SZOGYESZ'!D48+'ERISZ+SZOGYESZ'!G48+'ERISZ+SZOGYESZ'!J48+'ERISZ+SZOGYESZ'!M48)</f>
        <v>0</v>
      </c>
      <c r="E48" s="172">
        <f>SUM('ERISZ+SZOGYESZ'!E48+'ERISZ+SZOGYESZ'!H48+'ERISZ+SZOGYESZ'!K48+'ERISZ+SZOGYESZ'!N48)</f>
        <v>0</v>
      </c>
      <c r="F48" s="73"/>
      <c r="G48" s="73"/>
      <c r="H48" s="166">
        <f t="shared" si="1"/>
        <v>0</v>
      </c>
      <c r="I48" s="77">
        <f>SUM(ERISZ1!R48+'SZOGYESZ+ERESZ+ERISZ'!C48+'SZOGYESZ+ERESZ+ERISZ'!F48)</f>
        <v>0</v>
      </c>
      <c r="J48" s="73">
        <f>SUM(ERISZ1!S48,'SZOGYESZ+ERESZ+ERISZ'!D48,'SZOGYESZ+ERESZ+ERISZ'!G48)</f>
        <v>0</v>
      </c>
      <c r="K48" s="166">
        <f>SUM(ERISZ1!T48+'SZOGYESZ+ERESZ+ERISZ'!E48+'SZOGYESZ+ERESZ+ERISZ'!H48)</f>
        <v>0</v>
      </c>
    </row>
    <row r="49" spans="1:11" ht="15.75">
      <c r="A49" s="6">
        <v>37</v>
      </c>
      <c r="B49" s="15" t="s">
        <v>35</v>
      </c>
      <c r="C49" s="76">
        <f>SUM('ERISZ+SZOGYESZ'!C49+'ERISZ+SZOGYESZ'!F49+'ERISZ+SZOGYESZ'!I49+'ERISZ+SZOGYESZ'!L49)</f>
        <v>2250</v>
      </c>
      <c r="D49" s="73">
        <f>SUM('ERISZ+SZOGYESZ'!D49+'ERISZ+SZOGYESZ'!G49+'ERISZ+SZOGYESZ'!J49+'ERISZ+SZOGYESZ'!M49)</f>
        <v>1616</v>
      </c>
      <c r="E49" s="172">
        <f>SUM('ERISZ+SZOGYESZ'!E49+'ERISZ+SZOGYESZ'!H49+'ERISZ+SZOGYESZ'!K49+'ERISZ+SZOGYESZ'!N49)</f>
        <v>3866</v>
      </c>
      <c r="F49" s="73">
        <f>157569+4655</f>
        <v>162224</v>
      </c>
      <c r="G49" s="73">
        <f>-6863-992</f>
        <v>-7855</v>
      </c>
      <c r="H49" s="166">
        <f t="shared" si="1"/>
        <v>154369</v>
      </c>
      <c r="I49" s="106">
        <f>SUM(ERISZ1!R49+'SZOGYESZ+ERESZ+ERISZ'!C49+'SZOGYESZ+ERESZ+ERISZ'!F49)</f>
        <v>168438</v>
      </c>
      <c r="J49" s="73">
        <f>SUM(ERISZ1!S49,'SZOGYESZ+ERESZ+ERISZ'!D49,'SZOGYESZ+ERESZ+ERISZ'!G49)</f>
        <v>-5247</v>
      </c>
      <c r="K49" s="166">
        <f>SUM(ERISZ1!T49+'SZOGYESZ+ERESZ+ERISZ'!E49+'SZOGYESZ+ERESZ+ERISZ'!H49)</f>
        <v>163191</v>
      </c>
    </row>
    <row r="50" spans="1:11" ht="15.75">
      <c r="A50" s="4">
        <v>38</v>
      </c>
      <c r="B50" s="16" t="s">
        <v>36</v>
      </c>
      <c r="C50" s="107">
        <f>SUM('ERISZ+SZOGYESZ'!C50+'ERISZ+SZOGYESZ'!F50+'ERISZ+SZOGYESZ'!I50+'ERISZ+SZOGYESZ'!L50)</f>
        <v>0</v>
      </c>
      <c r="D50" s="84">
        <f>SUM('ERISZ+SZOGYESZ'!D50+'ERISZ+SZOGYESZ'!G50+'ERISZ+SZOGYESZ'!J50+'ERISZ+SZOGYESZ'!M50)</f>
        <v>0</v>
      </c>
      <c r="E50" s="173">
        <f>SUM('ERISZ+SZOGYESZ'!E50+'ERISZ+SZOGYESZ'!H50+'ERISZ+SZOGYESZ'!K50+'ERISZ+SZOGYESZ'!N50)</f>
        <v>0</v>
      </c>
      <c r="F50" s="84">
        <f>157569+4655</f>
        <v>162224</v>
      </c>
      <c r="G50" s="84">
        <f>-6863-992</f>
        <v>-7855</v>
      </c>
      <c r="H50" s="180">
        <f t="shared" si="1"/>
        <v>154369</v>
      </c>
      <c r="I50" s="109">
        <f>SUM(ERISZ1!R50+'SZOGYESZ+ERESZ+ERISZ'!C50+'SZOGYESZ+ERESZ+ERISZ'!F50)</f>
        <v>166188</v>
      </c>
      <c r="J50" s="84">
        <f>SUM(ERISZ1!S50,'SZOGYESZ+ERESZ+ERISZ'!D50,'SZOGYESZ+ERESZ+ERISZ'!G50)</f>
        <v>-6863</v>
      </c>
      <c r="K50" s="180">
        <f>SUM(ERISZ1!T50+'SZOGYESZ+ERESZ+ERISZ'!E50+'SZOGYESZ+ERESZ+ERISZ'!H50)</f>
        <v>159325</v>
      </c>
    </row>
    <row r="51" spans="1:11" ht="15.75">
      <c r="A51" s="6">
        <v>39</v>
      </c>
      <c r="B51" s="15" t="s">
        <v>37</v>
      </c>
      <c r="C51" s="76">
        <f>SUM('ERISZ+SZOGYESZ'!C51+'ERISZ+SZOGYESZ'!F51+'ERISZ+SZOGYESZ'!I51+'ERISZ+SZOGYESZ'!L51)</f>
        <v>0</v>
      </c>
      <c r="D51" s="73">
        <f>SUM('ERISZ+SZOGYESZ'!D51+'ERISZ+SZOGYESZ'!G51+'ERISZ+SZOGYESZ'!J51+'ERISZ+SZOGYESZ'!M51)</f>
        <v>0</v>
      </c>
      <c r="E51" s="172">
        <f>SUM('ERISZ+SZOGYESZ'!E51+'ERISZ+SZOGYESZ'!H51+'ERISZ+SZOGYESZ'!K51+'ERISZ+SZOGYESZ'!N51)</f>
        <v>0</v>
      </c>
      <c r="F51" s="73"/>
      <c r="G51" s="73"/>
      <c r="H51" s="166">
        <f t="shared" si="1"/>
        <v>0</v>
      </c>
      <c r="I51" s="106">
        <f>SUM(ERISZ1!R51+'SZOGYESZ+ERESZ+ERISZ'!C51+'SZOGYESZ+ERESZ+ERISZ'!F51)</f>
        <v>0</v>
      </c>
      <c r="J51" s="73">
        <f>SUM(ERISZ1!S51,'SZOGYESZ+ERESZ+ERISZ'!D51,'SZOGYESZ+ERESZ+ERISZ'!G51)</f>
        <v>0</v>
      </c>
      <c r="K51" s="166">
        <f>SUM(ERISZ1!T51+'SZOGYESZ+ERESZ+ERISZ'!E51+'SZOGYESZ+ERESZ+ERISZ'!H51)</f>
        <v>0</v>
      </c>
    </row>
    <row r="52" spans="1:11" ht="15.75">
      <c r="A52" s="6">
        <v>40</v>
      </c>
      <c r="B52" s="17" t="s">
        <v>38</v>
      </c>
      <c r="C52" s="76">
        <f>SUM('ERISZ+SZOGYESZ'!C52+'ERISZ+SZOGYESZ'!F52+'ERISZ+SZOGYESZ'!I52+'ERISZ+SZOGYESZ'!L52)</f>
        <v>0</v>
      </c>
      <c r="D52" s="73">
        <f>SUM('ERISZ+SZOGYESZ'!D52+'ERISZ+SZOGYESZ'!G52+'ERISZ+SZOGYESZ'!J52+'ERISZ+SZOGYESZ'!M52)</f>
        <v>0</v>
      </c>
      <c r="E52" s="172">
        <f>SUM('ERISZ+SZOGYESZ'!E52+'ERISZ+SZOGYESZ'!H52+'ERISZ+SZOGYESZ'!K52+'ERISZ+SZOGYESZ'!N52)</f>
        <v>0</v>
      </c>
      <c r="F52" s="73"/>
      <c r="G52" s="73"/>
      <c r="H52" s="166">
        <f t="shared" si="1"/>
        <v>0</v>
      </c>
      <c r="I52" s="106">
        <f>SUM(ERISZ1!R52+'SZOGYESZ+ERESZ+ERISZ'!C52+'SZOGYESZ+ERESZ+ERISZ'!F52)</f>
        <v>0</v>
      </c>
      <c r="J52" s="73">
        <f>SUM(ERISZ1!S52,'SZOGYESZ+ERESZ+ERISZ'!D52,'SZOGYESZ+ERESZ+ERISZ'!G52)</f>
        <v>0</v>
      </c>
      <c r="K52" s="166">
        <f>SUM(ERISZ1!T52+'SZOGYESZ+ERESZ+ERISZ'!E52+'SZOGYESZ+ERESZ+ERISZ'!H52)</f>
        <v>0</v>
      </c>
    </row>
    <row r="53" spans="1:11" ht="16.5" thickBot="1">
      <c r="A53" s="1">
        <v>41</v>
      </c>
      <c r="B53" s="18" t="s">
        <v>39</v>
      </c>
      <c r="C53" s="68">
        <f>SUM('ERISZ+SZOGYESZ'!C53+'ERISZ+SZOGYESZ'!F53+'ERISZ+SZOGYESZ'!I53+'ERISZ+SZOGYESZ'!L53)</f>
        <v>0</v>
      </c>
      <c r="D53" s="79">
        <f>SUM('ERISZ+SZOGYESZ'!D53+'ERISZ+SZOGYESZ'!G53+'ERISZ+SZOGYESZ'!J53+'ERISZ+SZOGYESZ'!M53)</f>
        <v>0</v>
      </c>
      <c r="E53" s="174">
        <f>SUM('ERISZ+SZOGYESZ'!E53+'ERISZ+SZOGYESZ'!H53+'ERISZ+SZOGYESZ'!K53+'ERISZ+SZOGYESZ'!N53)</f>
        <v>0</v>
      </c>
      <c r="F53" s="79"/>
      <c r="G53" s="79"/>
      <c r="H53" s="181">
        <f t="shared" si="1"/>
        <v>0</v>
      </c>
      <c r="I53" s="111">
        <f>SUM(ERISZ1!R53+'SZOGYESZ+ERESZ+ERISZ'!C53+'SZOGYESZ+ERESZ+ERISZ'!F53)</f>
        <v>0</v>
      </c>
      <c r="J53" s="79">
        <f>SUM(ERISZ1!S53,'SZOGYESZ+ERESZ+ERISZ'!D53,'SZOGYESZ+ERESZ+ERISZ'!G53)</f>
        <v>0</v>
      </c>
      <c r="K53" s="181">
        <f>SUM(ERISZ1!T53+'SZOGYESZ+ERESZ+ERISZ'!E53+'SZOGYESZ+ERESZ+ERISZ'!H53)</f>
        <v>0</v>
      </c>
    </row>
    <row r="54" spans="1:11" ht="16.5" thickBot="1">
      <c r="A54" s="5">
        <v>42</v>
      </c>
      <c r="B54" s="19" t="s">
        <v>49</v>
      </c>
      <c r="C54" s="86">
        <f>SUM('ERISZ+SZOGYESZ'!C54+'ERISZ+SZOGYESZ'!F54+'ERISZ+SZOGYESZ'!I54+'ERISZ+SZOGYESZ'!L54)</f>
        <v>331222</v>
      </c>
      <c r="D54" s="87">
        <f>SUM('ERISZ+SZOGYESZ'!D54+'ERISZ+SZOGYESZ'!G54+'ERISZ+SZOGYESZ'!J54+'ERISZ+SZOGYESZ'!M54)</f>
        <v>2983</v>
      </c>
      <c r="E54" s="168">
        <f>SUM('ERISZ+SZOGYESZ'!E54+'ERISZ+SZOGYESZ'!H54+'ERISZ+SZOGYESZ'!K54+'ERISZ+SZOGYESZ'!N54)</f>
        <v>334205</v>
      </c>
      <c r="F54" s="87">
        <f>F46+F47+F48+F49+F51+F52+F53</f>
        <v>239218</v>
      </c>
      <c r="G54" s="87">
        <f>G46+G47+G48+G49+G51+G52+G53</f>
        <v>-7855</v>
      </c>
      <c r="H54" s="168">
        <f t="shared" si="1"/>
        <v>231363</v>
      </c>
      <c r="I54" s="86">
        <f>SUM(ERISZ1!R54+'SZOGYESZ+ERESZ+ERISZ'!C54+'SZOGYESZ+ERESZ+ERISZ'!F54)</f>
        <v>1099299</v>
      </c>
      <c r="J54" s="87">
        <f>SUM(ERISZ1!S54,'SZOGYESZ+ERESZ+ERISZ'!D54,'SZOGYESZ+ERESZ+ERISZ'!G54)</f>
        <v>-3880</v>
      </c>
      <c r="K54" s="168">
        <f>SUM(ERISZ1!T54+'SZOGYESZ+ERESZ+ERISZ'!E54+'SZOGYESZ+ERESZ+ERISZ'!H54)</f>
        <v>1095419</v>
      </c>
    </row>
    <row r="55" spans="1:11" ht="16.5" thickBot="1">
      <c r="A55" s="6">
        <v>43</v>
      </c>
      <c r="B55" s="13" t="s">
        <v>40</v>
      </c>
      <c r="C55" s="89">
        <f>SUM('ERISZ+SZOGYESZ'!C55+'ERISZ+SZOGYESZ'!F55+'ERISZ+SZOGYESZ'!I55+'ERISZ+SZOGYESZ'!L55)</f>
        <v>0</v>
      </c>
      <c r="D55" s="90">
        <f>SUM('ERISZ+SZOGYESZ'!D55+'ERISZ+SZOGYESZ'!G55+'ERISZ+SZOGYESZ'!J55+'ERISZ+SZOGYESZ'!M55)</f>
        <v>0</v>
      </c>
      <c r="E55" s="165">
        <f>SUM('ERISZ+SZOGYESZ'!E55+'ERISZ+SZOGYESZ'!H55+'ERISZ+SZOGYESZ'!K55+'ERISZ+SZOGYESZ'!N55)</f>
        <v>0</v>
      </c>
      <c r="F55" s="90"/>
      <c r="G55" s="90"/>
      <c r="H55" s="165">
        <f t="shared" si="1"/>
        <v>0</v>
      </c>
      <c r="I55" s="89">
        <f>SUM(ERISZ1!R55+'SZOGYESZ+ERESZ+ERISZ'!C55+'SZOGYESZ+ERESZ+ERISZ'!F55)</f>
        <v>0</v>
      </c>
      <c r="J55" s="90">
        <f>SUM(ERISZ1!S55,'SZOGYESZ+ERESZ+ERISZ'!D55,'SZOGYESZ+ERESZ+ERISZ'!G55)</f>
        <v>0</v>
      </c>
      <c r="K55" s="165">
        <f>SUM(ERISZ1!T55+'SZOGYESZ+ERESZ+ERISZ'!E55+'SZOGYESZ+ERESZ+ERISZ'!H55)</f>
        <v>0</v>
      </c>
    </row>
    <row r="56" spans="1:11" s="115" customFormat="1" ht="16.5" thickBot="1">
      <c r="A56" s="5">
        <v>44</v>
      </c>
      <c r="B56" s="20" t="s">
        <v>76</v>
      </c>
      <c r="C56" s="112">
        <f>SUM('ERISZ+SZOGYESZ'!C56+'ERISZ+SZOGYESZ'!F56+'ERISZ+SZOGYESZ'!I56+'ERISZ+SZOGYESZ'!L56)</f>
        <v>342988</v>
      </c>
      <c r="D56" s="113">
        <f>SUM('ERISZ+SZOGYESZ'!D56+'ERISZ+SZOGYESZ'!G56+'ERISZ+SZOGYESZ'!J56+'ERISZ+SZOGYESZ'!M56)</f>
        <v>2983</v>
      </c>
      <c r="E56" s="175">
        <f>SUM('ERISZ+SZOGYESZ'!E56+'ERISZ+SZOGYESZ'!H56+'ERISZ+SZOGYESZ'!K56+'ERISZ+SZOGYESZ'!N56)</f>
        <v>345971</v>
      </c>
      <c r="F56" s="113">
        <f>F43+F44+F45+F54+F55</f>
        <v>257902</v>
      </c>
      <c r="G56" s="113">
        <f>G43+G44+G45+G54+G55</f>
        <v>-7855</v>
      </c>
      <c r="H56" s="175">
        <f t="shared" si="1"/>
        <v>250047</v>
      </c>
      <c r="I56" s="112">
        <f>SUM(ERISZ1!R56+'SZOGYESZ+ERESZ+ERISZ'!C56+'SZOGYESZ+ERESZ+ERISZ'!F56)</f>
        <v>1270897</v>
      </c>
      <c r="J56" s="113">
        <f>SUM(ERISZ1!S56,'SZOGYESZ+ERESZ+ERISZ'!D56,'SZOGYESZ+ERESZ+ERISZ'!G56)</f>
        <v>-3880</v>
      </c>
      <c r="K56" s="175">
        <f>SUM(ERISZ1!T56+'SZOGYESZ+ERESZ+ERISZ'!E56+'SZOGYESZ+ERESZ+ERISZ'!H56)</f>
        <v>1267017</v>
      </c>
    </row>
    <row r="57" spans="1:11" s="115" customFormat="1" ht="15.75">
      <c r="A57" s="212">
        <v>45</v>
      </c>
      <c r="B57" s="213" t="s">
        <v>113</v>
      </c>
      <c r="C57" s="112">
        <f>SUM('ERISZ+SZOGYESZ'!C57+'ERISZ+SZOGYESZ'!F57+'ERISZ+SZOGYESZ'!I57+'ERISZ+SZOGYESZ'!L57)</f>
        <v>20207</v>
      </c>
      <c r="D57" s="113">
        <f>SUM('ERISZ+SZOGYESZ'!D57+'ERISZ+SZOGYESZ'!G57+'ERISZ+SZOGYESZ'!J57+'ERISZ+SZOGYESZ'!M57)</f>
        <v>0</v>
      </c>
      <c r="E57" s="175">
        <f>SUM('ERISZ+SZOGYESZ'!E57+'ERISZ+SZOGYESZ'!H57+'ERISZ+SZOGYESZ'!K57+'ERISZ+SZOGYESZ'!N57)</f>
        <v>20207</v>
      </c>
      <c r="F57" s="113"/>
      <c r="G57" s="113"/>
      <c r="H57" s="175">
        <f t="shared" si="1"/>
        <v>0</v>
      </c>
      <c r="I57" s="112">
        <f>SUM(ERISZ1!R57+'SZOGYESZ+ERESZ+ERISZ'!C57+'SZOGYESZ+ERESZ+ERISZ'!F57)</f>
        <v>107248</v>
      </c>
      <c r="J57" s="113">
        <f>SUM(ERISZ1!S57,'SZOGYESZ+ERESZ+ERISZ'!D57,'SZOGYESZ+ERESZ+ERISZ'!G57)</f>
        <v>0</v>
      </c>
      <c r="K57" s="175">
        <f>SUM(ERISZ1!T57+'SZOGYESZ+ERESZ+ERISZ'!E57+'SZOGYESZ+ERESZ+ERISZ'!H57)</f>
        <v>107248</v>
      </c>
    </row>
    <row r="58" spans="1:11" s="115" customFormat="1" ht="15.75">
      <c r="A58" s="6">
        <v>46</v>
      </c>
      <c r="B58" s="13" t="s">
        <v>44</v>
      </c>
      <c r="C58" s="112">
        <f>SUM('ERISZ+SZOGYESZ'!C58+'ERISZ+SZOGYESZ'!F58+'ERISZ+SZOGYESZ'!I58+'ERISZ+SZOGYESZ'!L58)</f>
        <v>0</v>
      </c>
      <c r="D58" s="113">
        <f>SUM('ERISZ+SZOGYESZ'!D58+'ERISZ+SZOGYESZ'!G58+'ERISZ+SZOGYESZ'!J58+'ERISZ+SZOGYESZ'!M58)</f>
        <v>0</v>
      </c>
      <c r="E58" s="175">
        <f>SUM('ERISZ+SZOGYESZ'!E58+'ERISZ+SZOGYESZ'!H58+'ERISZ+SZOGYESZ'!K58+'ERISZ+SZOGYESZ'!N58)</f>
        <v>0</v>
      </c>
      <c r="F58" s="113"/>
      <c r="G58" s="113"/>
      <c r="H58" s="175">
        <f t="shared" si="1"/>
        <v>0</v>
      </c>
      <c r="I58" s="112">
        <f>SUM(ERISZ1!R58+'SZOGYESZ+ERESZ+ERISZ'!C58+'SZOGYESZ+ERESZ+ERISZ'!F58)</f>
        <v>0</v>
      </c>
      <c r="J58" s="113">
        <f>SUM(ERISZ1!S58,'SZOGYESZ+ERESZ+ERISZ'!D58,'SZOGYESZ+ERESZ+ERISZ'!G58)</f>
        <v>0</v>
      </c>
      <c r="K58" s="175">
        <f>SUM(ERISZ1!T58+'SZOGYESZ+ERESZ+ERISZ'!E58+'SZOGYESZ+ERESZ+ERISZ'!H58)</f>
        <v>0</v>
      </c>
    </row>
    <row r="59" spans="1:11" ht="15.75">
      <c r="A59" s="6">
        <v>47</v>
      </c>
      <c r="B59" s="15" t="s">
        <v>41</v>
      </c>
      <c r="C59" s="91">
        <f>SUM('ERISZ+SZOGYESZ'!C59+'ERISZ+SZOGYESZ'!F59+'ERISZ+SZOGYESZ'!I59+'ERISZ+SZOGYESZ'!L59)</f>
        <v>0</v>
      </c>
      <c r="D59" s="73">
        <f>SUM('ERISZ+SZOGYESZ'!D59+'ERISZ+SZOGYESZ'!G59+'ERISZ+SZOGYESZ'!J59+'ERISZ+SZOGYESZ'!M59)</f>
        <v>0</v>
      </c>
      <c r="E59" s="166">
        <f>SUM('ERISZ+SZOGYESZ'!E59+'ERISZ+SZOGYESZ'!H59+'ERISZ+SZOGYESZ'!K59+'ERISZ+SZOGYESZ'!N59)</f>
        <v>0</v>
      </c>
      <c r="F59" s="73"/>
      <c r="G59" s="73"/>
      <c r="H59" s="166">
        <f t="shared" si="1"/>
        <v>0</v>
      </c>
      <c r="I59" s="91">
        <f>SUM(ERISZ1!R59+'SZOGYESZ+ERESZ+ERISZ'!C59+'SZOGYESZ+ERESZ+ERISZ'!F59)</f>
        <v>0</v>
      </c>
      <c r="J59" s="73">
        <f>SUM(ERISZ1!S59,'SZOGYESZ+ERESZ+ERISZ'!D59,'SZOGYESZ+ERESZ+ERISZ'!G59)</f>
        <v>0</v>
      </c>
      <c r="K59" s="166">
        <f>SUM(ERISZ1!T59+'SZOGYESZ+ERESZ+ERISZ'!E59+'SZOGYESZ+ERESZ+ERISZ'!H59)</f>
        <v>0</v>
      </c>
    </row>
    <row r="60" spans="1:11" ht="16.5" thickBot="1">
      <c r="A60" s="6">
        <v>48</v>
      </c>
      <c r="B60" s="15" t="s">
        <v>42</v>
      </c>
      <c r="C60" s="91">
        <f>SUM('ERISZ+SZOGYESZ'!C60+'ERISZ+SZOGYESZ'!F60+'ERISZ+SZOGYESZ'!I60+'ERISZ+SZOGYESZ'!L60)</f>
        <v>0</v>
      </c>
      <c r="D60" s="73">
        <f>SUM('ERISZ+SZOGYESZ'!D60+'ERISZ+SZOGYESZ'!G60+'ERISZ+SZOGYESZ'!J60+'ERISZ+SZOGYESZ'!M60)</f>
        <v>0</v>
      </c>
      <c r="E60" s="166">
        <f>SUM('ERISZ+SZOGYESZ'!E60+'ERISZ+SZOGYESZ'!H60+'ERISZ+SZOGYESZ'!K60+'ERISZ+SZOGYESZ'!N60)</f>
        <v>0</v>
      </c>
      <c r="F60" s="73"/>
      <c r="G60" s="73"/>
      <c r="H60" s="166">
        <f t="shared" si="1"/>
        <v>0</v>
      </c>
      <c r="I60" s="91">
        <f>SUM(ERISZ1!R60+'SZOGYESZ+ERESZ+ERISZ'!C60+'SZOGYESZ+ERESZ+ERISZ'!F60)</f>
        <v>0</v>
      </c>
      <c r="J60" s="73">
        <f>SUM(ERISZ1!S60,'SZOGYESZ+ERESZ+ERISZ'!D60,'SZOGYESZ+ERESZ+ERISZ'!G60)</f>
        <v>0</v>
      </c>
      <c r="K60" s="166">
        <f>SUM(ERISZ1!T60+'SZOGYESZ+ERESZ+ERISZ'!E60+'SZOGYESZ+ERESZ+ERISZ'!H60)</f>
        <v>0</v>
      </c>
    </row>
    <row r="61" spans="1:11" ht="16.5" thickBot="1">
      <c r="A61" s="5">
        <v>49</v>
      </c>
      <c r="B61" s="20" t="s">
        <v>50</v>
      </c>
      <c r="C61" s="116">
        <f>SUM('ERISZ+SZOGYESZ'!C61+'ERISZ+SZOGYESZ'!F61+'ERISZ+SZOGYESZ'!I61+'ERISZ+SZOGYESZ'!L61)</f>
        <v>0</v>
      </c>
      <c r="D61" s="117">
        <f>SUM('ERISZ+SZOGYESZ'!D61+'ERISZ+SZOGYESZ'!G61+'ERISZ+SZOGYESZ'!J61+'ERISZ+SZOGYESZ'!M61)</f>
        <v>0</v>
      </c>
      <c r="E61" s="176">
        <f>SUM('ERISZ+SZOGYESZ'!E61+'ERISZ+SZOGYESZ'!H61+'ERISZ+SZOGYESZ'!K61+'ERISZ+SZOGYESZ'!N61)</f>
        <v>0</v>
      </c>
      <c r="F61" s="117">
        <f>SUM(F58:F60)</f>
        <v>0</v>
      </c>
      <c r="G61" s="117">
        <f>SUM(G58:G60)</f>
        <v>0</v>
      </c>
      <c r="H61" s="176">
        <f t="shared" si="1"/>
        <v>0</v>
      </c>
      <c r="I61" s="116">
        <f>SUM(ERISZ1!R61+'SZOGYESZ+ERESZ+ERISZ'!C61+'SZOGYESZ+ERESZ+ERISZ'!F61)</f>
        <v>0</v>
      </c>
      <c r="J61" s="117">
        <f>SUM(ERISZ1!S61,'SZOGYESZ+ERESZ+ERISZ'!D61,'SZOGYESZ+ERESZ+ERISZ'!G61)</f>
        <v>0</v>
      </c>
      <c r="K61" s="176">
        <f>SUM(ERISZ1!T61+'SZOGYESZ+ERESZ+ERISZ'!E61+'SZOGYESZ+ERESZ+ERISZ'!H61)</f>
        <v>0</v>
      </c>
    </row>
    <row r="62" spans="1:11" ht="16.5" thickBot="1">
      <c r="A62" s="229" t="s">
        <v>77</v>
      </c>
      <c r="B62" s="230"/>
      <c r="C62" s="119">
        <f>SUM('ERISZ+SZOGYESZ'!C62+'ERISZ+SZOGYESZ'!F62+'ERISZ+SZOGYESZ'!I62+'ERISZ+SZOGYESZ'!L62)</f>
        <v>363195</v>
      </c>
      <c r="D62" s="120">
        <f>SUM('ERISZ+SZOGYESZ'!D62+'ERISZ+SZOGYESZ'!G62+'ERISZ+SZOGYESZ'!J62+'ERISZ+SZOGYESZ'!M62)</f>
        <v>2983</v>
      </c>
      <c r="E62" s="177">
        <f>SUM('ERISZ+SZOGYESZ'!E62+'ERISZ+SZOGYESZ'!H62+'ERISZ+SZOGYESZ'!K62+'ERISZ+SZOGYESZ'!N62)</f>
        <v>366178</v>
      </c>
      <c r="F62" s="120">
        <f>F56+F61</f>
        <v>257902</v>
      </c>
      <c r="G62" s="120">
        <f>G56+G61</f>
        <v>-7855</v>
      </c>
      <c r="H62" s="182">
        <f t="shared" si="1"/>
        <v>250047</v>
      </c>
      <c r="I62" s="119">
        <f>SUM(ERISZ1!R62+'SZOGYESZ+ERESZ+ERISZ'!C62+'SZOGYESZ+ERESZ+ERISZ'!F62)</f>
        <v>1378145</v>
      </c>
      <c r="J62" s="120">
        <f>SUM(ERISZ1!S62,'SZOGYESZ+ERESZ+ERISZ'!D62,'SZOGYESZ+ERESZ+ERISZ'!G62)</f>
        <v>-3880</v>
      </c>
      <c r="K62" s="199">
        <f>SUM(ERISZ1!T62+'SZOGYESZ+ERESZ+ERISZ'!E62+'SZOGYESZ+ERESZ+ERISZ'!H62)</f>
        <v>1374265</v>
      </c>
    </row>
    <row r="63" spans="1:11" ht="17.25" thickTop="1" thickBot="1">
      <c r="A63" s="215"/>
      <c r="B63" s="216"/>
      <c r="C63" s="123"/>
      <c r="D63" s="69"/>
      <c r="E63" s="178"/>
      <c r="F63" s="69"/>
      <c r="G63" s="69"/>
      <c r="H63" s="178"/>
      <c r="I63" s="123"/>
      <c r="J63" s="69"/>
      <c r="K63" s="178"/>
    </row>
    <row r="64" spans="1:11" ht="16.5" thickBot="1">
      <c r="A64" s="9">
        <v>50</v>
      </c>
      <c r="B64" s="11" t="s">
        <v>43</v>
      </c>
      <c r="C64" s="206">
        <f>SUM('ERISZ+SZOGYESZ'!C64+'ERISZ+SZOGYESZ'!F64+'ERISZ+SZOGYESZ'!I64+'ERISZ+SZOGYESZ'!L64)</f>
        <v>127</v>
      </c>
      <c r="D64" s="203">
        <f>SUM('ERISZ+SZOGYESZ'!D64+'ERISZ+SZOGYESZ'!G64+'ERISZ+SZOGYESZ'!J64+'ERISZ+SZOGYESZ'!M64)</f>
        <v>0</v>
      </c>
      <c r="E64" s="204">
        <f>SUM('ERISZ+SZOGYESZ'!E64+'ERISZ+SZOGYESZ'!H64+'ERISZ+SZOGYESZ'!K64+'ERISZ+SZOGYESZ'!N64)</f>
        <v>127</v>
      </c>
      <c r="F64" s="203">
        <v>48.5</v>
      </c>
      <c r="G64" s="203"/>
      <c r="H64" s="204">
        <f t="shared" si="1"/>
        <v>48.5</v>
      </c>
      <c r="I64" s="206">
        <f>SUM(ERISZ1!R64+'SZOGYESZ+ERESZ+ERISZ'!C64+'SZOGYESZ+ERESZ+ERISZ'!F64)</f>
        <v>336.75</v>
      </c>
      <c r="J64" s="203">
        <f>SUM(ERISZ1!S64,'SZOGYESZ+ERESZ+ERISZ'!D64,'SZOGYESZ+ERESZ+ERISZ'!G64)</f>
        <v>0</v>
      </c>
      <c r="K64" s="204">
        <f>SUM(ERISZ1!T64+'SZOGYESZ+ERESZ+ERISZ'!E64+'SZOGYESZ+ERESZ+ERISZ'!H64)</f>
        <v>336.75</v>
      </c>
    </row>
    <row r="65" spans="1:11" ht="14.25">
      <c r="A65" s="125"/>
      <c r="B65" s="125"/>
      <c r="C65" s="125"/>
      <c r="D65" s="126"/>
      <c r="E65" s="127"/>
      <c r="F65" s="125"/>
      <c r="G65" s="126"/>
      <c r="H65" s="127"/>
      <c r="I65" s="125"/>
      <c r="J65" s="126"/>
      <c r="K65" s="127"/>
    </row>
    <row r="66" spans="1:11" ht="18">
      <c r="A66" s="128"/>
      <c r="B66" s="128"/>
      <c r="C66" s="128"/>
      <c r="D66" s="129"/>
      <c r="E66" s="130"/>
      <c r="F66" s="128"/>
      <c r="G66" s="129"/>
      <c r="H66" s="130"/>
      <c r="I66" s="128"/>
      <c r="J66" s="129"/>
      <c r="K66" s="130"/>
    </row>
    <row r="67" spans="1:11">
      <c r="A67" s="58"/>
      <c r="B67" s="131"/>
    </row>
    <row r="68" spans="1:11">
      <c r="A68" s="58"/>
      <c r="B68" s="131"/>
    </row>
    <row r="69" spans="1:11">
      <c r="A69" s="58"/>
      <c r="B69" s="131"/>
    </row>
    <row r="70" spans="1:11">
      <c r="A70" s="58"/>
      <c r="B70" s="131"/>
    </row>
    <row r="71" spans="1:11">
      <c r="A71" s="58"/>
      <c r="B71" s="131"/>
    </row>
    <row r="72" spans="1:11">
      <c r="A72" s="58"/>
      <c r="B72" s="131"/>
    </row>
    <row r="73" spans="1:11">
      <c r="A73" s="58"/>
      <c r="B73" s="131"/>
    </row>
    <row r="74" spans="1:11">
      <c r="A74" s="58"/>
      <c r="B74" s="131"/>
    </row>
    <row r="75" spans="1:11">
      <c r="A75" s="58"/>
      <c r="B75" s="131"/>
    </row>
    <row r="76" spans="1:11">
      <c r="A76" s="58"/>
      <c r="B76" s="131"/>
    </row>
    <row r="77" spans="1:11">
      <c r="A77" s="58"/>
      <c r="B77" s="131"/>
    </row>
    <row r="78" spans="1:11">
      <c r="A78" s="58"/>
      <c r="B78" s="131"/>
    </row>
    <row r="79" spans="1:11">
      <c r="A79" s="58"/>
      <c r="B79" s="131"/>
    </row>
    <row r="80" spans="1:11">
      <c r="A80" s="58"/>
      <c r="B80" s="131"/>
    </row>
    <row r="81" spans="1:2">
      <c r="A81" s="58"/>
      <c r="B81" s="131"/>
    </row>
    <row r="82" spans="1:2">
      <c r="A82" s="58"/>
      <c r="B82" s="131"/>
    </row>
    <row r="83" spans="1:2">
      <c r="A83" s="58"/>
      <c r="B83" s="131"/>
    </row>
    <row r="84" spans="1:2">
      <c r="A84" s="58"/>
      <c r="B84" s="131"/>
    </row>
    <row r="85" spans="1:2">
      <c r="A85" s="58"/>
      <c r="B85" s="131"/>
    </row>
    <row r="86" spans="1:2">
      <c r="A86" s="58"/>
      <c r="B86" s="131"/>
    </row>
    <row r="87" spans="1:2">
      <c r="A87" s="58"/>
      <c r="B87" s="131"/>
    </row>
    <row r="88" spans="1:2">
      <c r="A88" s="58"/>
      <c r="B88" s="131"/>
    </row>
    <row r="89" spans="1:2">
      <c r="A89" s="58"/>
      <c r="B89" s="131"/>
    </row>
    <row r="90" spans="1:2">
      <c r="A90" s="58"/>
      <c r="B90" s="131"/>
    </row>
    <row r="91" spans="1:2">
      <c r="A91" s="58"/>
      <c r="B91" s="131"/>
    </row>
    <row r="92" spans="1:2">
      <c r="A92" s="58"/>
      <c r="B92" s="131"/>
    </row>
    <row r="93" spans="1:2">
      <c r="A93" s="58"/>
      <c r="B93" s="131"/>
    </row>
    <row r="94" spans="1:2">
      <c r="A94" s="58"/>
      <c r="B94" s="131"/>
    </row>
    <row r="95" spans="1:2">
      <c r="A95" s="58"/>
      <c r="B95" s="131"/>
    </row>
    <row r="96" spans="1:2">
      <c r="A96" s="58"/>
      <c r="B96" s="131"/>
    </row>
    <row r="97" spans="1:2">
      <c r="A97" s="58"/>
      <c r="B97" s="131"/>
    </row>
    <row r="98" spans="1:2">
      <c r="A98" s="58"/>
      <c r="B98" s="131"/>
    </row>
    <row r="99" spans="1:2">
      <c r="A99" s="58"/>
      <c r="B99" s="131"/>
    </row>
    <row r="100" spans="1:2">
      <c r="A100" s="58"/>
      <c r="B100" s="131"/>
    </row>
    <row r="101" spans="1:2">
      <c r="A101" s="58"/>
      <c r="B101" s="131"/>
    </row>
    <row r="102" spans="1:2">
      <c r="A102" s="58"/>
      <c r="B102" s="131"/>
    </row>
    <row r="103" spans="1:2">
      <c r="A103" s="58"/>
      <c r="B103" s="131"/>
    </row>
    <row r="104" spans="1:2">
      <c r="A104" s="58"/>
      <c r="B104" s="131"/>
    </row>
    <row r="105" spans="1:2">
      <c r="A105" s="58"/>
      <c r="B105" s="131"/>
    </row>
    <row r="106" spans="1:2">
      <c r="A106" s="58"/>
      <c r="B106" s="131"/>
    </row>
    <row r="107" spans="1:2">
      <c r="A107" s="58"/>
      <c r="B107" s="131"/>
    </row>
    <row r="108" spans="1:2">
      <c r="A108" s="58"/>
      <c r="B108" s="131"/>
    </row>
    <row r="109" spans="1:2">
      <c r="A109" s="58"/>
      <c r="B109" s="131"/>
    </row>
    <row r="110" spans="1:2">
      <c r="A110" s="58"/>
      <c r="B110" s="131"/>
    </row>
    <row r="111" spans="1:2">
      <c r="A111" s="58"/>
      <c r="B111" s="131"/>
    </row>
    <row r="112" spans="1:2">
      <c r="A112" s="58"/>
      <c r="B112" s="131"/>
    </row>
    <row r="113" spans="1:2">
      <c r="A113" s="58"/>
      <c r="B113" s="131"/>
    </row>
    <row r="114" spans="1:2">
      <c r="A114" s="58"/>
      <c r="B114" s="131"/>
    </row>
    <row r="115" spans="1:2">
      <c r="A115" s="58"/>
      <c r="B115" s="131"/>
    </row>
    <row r="116" spans="1:2">
      <c r="A116" s="58"/>
      <c r="B116" s="131"/>
    </row>
    <row r="117" spans="1:2">
      <c r="A117" s="58"/>
      <c r="B117" s="131"/>
    </row>
    <row r="118" spans="1:2">
      <c r="A118" s="58"/>
      <c r="B118" s="131"/>
    </row>
    <row r="119" spans="1:2">
      <c r="A119" s="58"/>
      <c r="B119" s="131"/>
    </row>
    <row r="120" spans="1:2">
      <c r="A120" s="58"/>
      <c r="B120" s="131"/>
    </row>
    <row r="121" spans="1:2">
      <c r="A121" s="58"/>
      <c r="B121" s="131"/>
    </row>
    <row r="122" spans="1:2">
      <c r="A122" s="58"/>
      <c r="B122" s="131"/>
    </row>
    <row r="123" spans="1:2">
      <c r="A123" s="58"/>
      <c r="B123" s="131"/>
    </row>
    <row r="124" spans="1:2">
      <c r="A124" s="58"/>
      <c r="B124" s="131"/>
    </row>
    <row r="125" spans="1:2">
      <c r="A125" s="58"/>
      <c r="B125" s="131"/>
    </row>
    <row r="126" spans="1:2">
      <c r="A126" s="58"/>
      <c r="B126" s="131"/>
    </row>
    <row r="127" spans="1:2">
      <c r="A127" s="58"/>
      <c r="B127" s="131"/>
    </row>
    <row r="128" spans="1:2">
      <c r="A128" s="58"/>
      <c r="B128" s="131"/>
    </row>
    <row r="129" spans="1:2">
      <c r="A129" s="58"/>
      <c r="B129" s="131"/>
    </row>
    <row r="130" spans="1:2">
      <c r="A130" s="58"/>
      <c r="B130" s="131"/>
    </row>
    <row r="131" spans="1:2">
      <c r="A131" s="58"/>
      <c r="B131" s="131"/>
    </row>
    <row r="132" spans="1:2">
      <c r="A132" s="58"/>
      <c r="B132" s="131"/>
    </row>
    <row r="133" spans="1:2">
      <c r="A133" s="58"/>
      <c r="B133" s="131"/>
    </row>
    <row r="134" spans="1:2">
      <c r="A134" s="58"/>
      <c r="B134" s="131"/>
    </row>
    <row r="135" spans="1:2">
      <c r="A135" s="58"/>
      <c r="B135" s="131"/>
    </row>
    <row r="136" spans="1:2">
      <c r="A136" s="58"/>
      <c r="B136" s="131"/>
    </row>
    <row r="137" spans="1:2">
      <c r="A137" s="58"/>
      <c r="B137" s="131"/>
    </row>
    <row r="138" spans="1:2">
      <c r="A138" s="58"/>
      <c r="B138" s="131"/>
    </row>
    <row r="139" spans="1:2">
      <c r="A139" s="58"/>
      <c r="B139" s="131"/>
    </row>
    <row r="140" spans="1:2">
      <c r="A140" s="58"/>
      <c r="B140" s="131"/>
    </row>
    <row r="141" spans="1:2">
      <c r="A141" s="58"/>
      <c r="B141" s="131"/>
    </row>
    <row r="142" spans="1:2">
      <c r="A142" s="58"/>
      <c r="B142" s="131"/>
    </row>
    <row r="143" spans="1:2">
      <c r="A143" s="58"/>
      <c r="B143" s="131"/>
    </row>
    <row r="144" spans="1:2">
      <c r="A144" s="58"/>
      <c r="B144" s="131"/>
    </row>
    <row r="145" spans="1:2">
      <c r="A145" s="58"/>
      <c r="B145" s="131"/>
    </row>
    <row r="146" spans="1:2">
      <c r="A146" s="58"/>
      <c r="B146" s="131"/>
    </row>
    <row r="147" spans="1:2">
      <c r="A147" s="58"/>
      <c r="B147" s="131"/>
    </row>
    <row r="148" spans="1:2">
      <c r="A148" s="58"/>
      <c r="B148" s="131"/>
    </row>
    <row r="149" spans="1:2">
      <c r="A149" s="58"/>
      <c r="B149" s="131"/>
    </row>
    <row r="150" spans="1:2">
      <c r="A150" s="58"/>
      <c r="B150" s="131"/>
    </row>
    <row r="151" spans="1:2">
      <c r="A151" s="58"/>
      <c r="B151" s="131"/>
    </row>
    <row r="152" spans="1:2">
      <c r="A152" s="58"/>
      <c r="B152" s="131"/>
    </row>
    <row r="153" spans="1:2">
      <c r="A153" s="58"/>
      <c r="B153" s="131"/>
    </row>
    <row r="154" spans="1:2">
      <c r="A154" s="58"/>
      <c r="B154" s="131"/>
    </row>
    <row r="155" spans="1:2">
      <c r="A155" s="58"/>
      <c r="B155" s="131"/>
    </row>
    <row r="156" spans="1:2">
      <c r="A156" s="58"/>
      <c r="B156" s="131"/>
    </row>
    <row r="157" spans="1:2">
      <c r="A157" s="58"/>
      <c r="B157" s="131"/>
    </row>
    <row r="158" spans="1:2">
      <c r="A158" s="58"/>
      <c r="B158" s="131"/>
    </row>
    <row r="159" spans="1:2">
      <c r="A159" s="58"/>
      <c r="B159" s="131"/>
    </row>
    <row r="160" spans="1:2">
      <c r="A160" s="58"/>
      <c r="B160" s="131"/>
    </row>
    <row r="161" spans="1:2">
      <c r="A161" s="58"/>
      <c r="B161" s="131"/>
    </row>
    <row r="162" spans="1:2">
      <c r="A162" s="58"/>
      <c r="B162" s="131"/>
    </row>
    <row r="163" spans="1:2">
      <c r="A163" s="58"/>
      <c r="B163" s="131"/>
    </row>
    <row r="164" spans="1:2">
      <c r="A164" s="58"/>
      <c r="B164" s="131"/>
    </row>
    <row r="165" spans="1:2">
      <c r="A165" s="58"/>
      <c r="B165" s="131"/>
    </row>
    <row r="166" spans="1:2">
      <c r="A166" s="58"/>
      <c r="B166" s="131"/>
    </row>
    <row r="167" spans="1:2">
      <c r="A167" s="58"/>
      <c r="B167" s="131"/>
    </row>
    <row r="168" spans="1:2">
      <c r="A168" s="58"/>
      <c r="B168" s="131"/>
    </row>
    <row r="169" spans="1:2">
      <c r="A169" s="58"/>
      <c r="B169" s="131"/>
    </row>
    <row r="170" spans="1:2">
      <c r="A170" s="58"/>
      <c r="B170" s="131"/>
    </row>
    <row r="171" spans="1:2">
      <c r="A171" s="58"/>
      <c r="B171" s="131"/>
    </row>
    <row r="172" spans="1:2">
      <c r="A172" s="58"/>
      <c r="B172" s="131"/>
    </row>
    <row r="173" spans="1:2">
      <c r="A173" s="58"/>
      <c r="B173" s="131"/>
    </row>
    <row r="174" spans="1:2">
      <c r="A174" s="58"/>
      <c r="B174" s="131"/>
    </row>
    <row r="175" spans="1:2">
      <c r="A175" s="58"/>
      <c r="B175" s="131"/>
    </row>
    <row r="176" spans="1:2">
      <c r="A176" s="58"/>
      <c r="B176" s="131"/>
    </row>
    <row r="177" spans="1:2">
      <c r="A177" s="58"/>
      <c r="B177" s="131"/>
    </row>
    <row r="178" spans="1:2">
      <c r="A178" s="58"/>
      <c r="B178" s="131"/>
    </row>
    <row r="179" spans="1:2">
      <c r="A179" s="58"/>
      <c r="B179" s="131"/>
    </row>
    <row r="180" spans="1:2">
      <c r="A180" s="58"/>
      <c r="B180" s="131"/>
    </row>
    <row r="181" spans="1:2">
      <c r="A181" s="58"/>
      <c r="B181" s="131"/>
    </row>
    <row r="182" spans="1:2">
      <c r="A182" s="58"/>
      <c r="B182" s="131"/>
    </row>
    <row r="183" spans="1:2">
      <c r="A183" s="58"/>
      <c r="B183" s="131"/>
    </row>
    <row r="184" spans="1:2">
      <c r="A184" s="58"/>
      <c r="B184" s="131"/>
    </row>
    <row r="185" spans="1:2">
      <c r="A185" s="58"/>
      <c r="B185" s="131"/>
    </row>
    <row r="186" spans="1:2">
      <c r="A186" s="58"/>
      <c r="B186" s="131"/>
    </row>
    <row r="187" spans="1:2">
      <c r="A187" s="58"/>
      <c r="B187" s="131"/>
    </row>
    <row r="188" spans="1:2">
      <c r="A188" s="58"/>
      <c r="B188" s="131"/>
    </row>
    <row r="189" spans="1:2">
      <c r="A189" s="58"/>
      <c r="B189" s="131"/>
    </row>
    <row r="190" spans="1:2">
      <c r="A190" s="58"/>
      <c r="B190" s="131"/>
    </row>
    <row r="191" spans="1:2">
      <c r="A191" s="58"/>
      <c r="B191" s="131"/>
    </row>
    <row r="192" spans="1:2">
      <c r="A192" s="58"/>
      <c r="B192" s="131"/>
    </row>
    <row r="193" spans="1:2">
      <c r="A193" s="58"/>
      <c r="B193" s="131"/>
    </row>
    <row r="194" spans="1:2">
      <c r="A194" s="58"/>
      <c r="B194" s="131"/>
    </row>
    <row r="195" spans="1:2">
      <c r="A195" s="58"/>
      <c r="B195" s="131"/>
    </row>
    <row r="196" spans="1:2">
      <c r="A196" s="58"/>
      <c r="B196" s="131"/>
    </row>
    <row r="197" spans="1:2">
      <c r="A197" s="58"/>
      <c r="B197" s="131"/>
    </row>
    <row r="198" spans="1:2">
      <c r="A198" s="58"/>
      <c r="B198" s="131"/>
    </row>
    <row r="199" spans="1:2">
      <c r="A199" s="58"/>
      <c r="B199" s="131"/>
    </row>
    <row r="200" spans="1:2">
      <c r="A200" s="58"/>
      <c r="B200" s="131"/>
    </row>
    <row r="201" spans="1:2">
      <c r="A201" s="58"/>
      <c r="B201" s="131"/>
    </row>
    <row r="202" spans="1:2">
      <c r="A202" s="58"/>
      <c r="B202" s="131"/>
    </row>
    <row r="203" spans="1:2">
      <c r="A203" s="58"/>
      <c r="B203" s="131"/>
    </row>
    <row r="204" spans="1:2">
      <c r="A204" s="58"/>
      <c r="B204" s="131"/>
    </row>
    <row r="205" spans="1:2">
      <c r="A205" s="58"/>
      <c r="B205" s="131"/>
    </row>
    <row r="206" spans="1:2">
      <c r="A206" s="58"/>
      <c r="B206" s="131"/>
    </row>
    <row r="207" spans="1:2">
      <c r="A207" s="58"/>
      <c r="B207" s="131"/>
    </row>
    <row r="208" spans="1:2">
      <c r="A208" s="58"/>
      <c r="B208" s="131"/>
    </row>
    <row r="209" spans="1:2">
      <c r="A209" s="58"/>
      <c r="B209" s="131"/>
    </row>
    <row r="210" spans="1:2">
      <c r="A210" s="58"/>
      <c r="B210" s="131"/>
    </row>
    <row r="211" spans="1:2">
      <c r="A211" s="58"/>
      <c r="B211" s="131"/>
    </row>
    <row r="212" spans="1:2">
      <c r="A212" s="58"/>
      <c r="B212" s="131"/>
    </row>
    <row r="213" spans="1:2">
      <c r="A213" s="58"/>
      <c r="B213" s="131"/>
    </row>
    <row r="214" spans="1:2">
      <c r="A214" s="58"/>
      <c r="B214" s="131"/>
    </row>
    <row r="215" spans="1:2">
      <c r="A215" s="58"/>
      <c r="B215" s="131"/>
    </row>
    <row r="216" spans="1:2">
      <c r="A216" s="58"/>
      <c r="B216" s="131"/>
    </row>
    <row r="217" spans="1:2">
      <c r="A217" s="58"/>
      <c r="B217" s="131"/>
    </row>
    <row r="218" spans="1:2">
      <c r="A218" s="58"/>
      <c r="B218" s="131"/>
    </row>
    <row r="219" spans="1:2">
      <c r="A219" s="58"/>
      <c r="B219" s="131"/>
    </row>
    <row r="220" spans="1:2">
      <c r="A220" s="58"/>
      <c r="B220" s="131"/>
    </row>
    <row r="221" spans="1:2">
      <c r="A221" s="58"/>
      <c r="B221" s="131"/>
    </row>
    <row r="222" spans="1:2">
      <c r="A222" s="58"/>
      <c r="B222" s="131"/>
    </row>
    <row r="223" spans="1:2">
      <c r="A223" s="58"/>
      <c r="B223" s="131"/>
    </row>
    <row r="224" spans="1:2">
      <c r="A224" s="58"/>
      <c r="B224" s="131"/>
    </row>
    <row r="225" spans="1:2">
      <c r="A225" s="58"/>
      <c r="B225" s="131"/>
    </row>
    <row r="226" spans="1:2">
      <c r="A226" s="58"/>
      <c r="B226" s="131"/>
    </row>
    <row r="227" spans="1:2">
      <c r="A227" s="58"/>
      <c r="B227" s="131"/>
    </row>
    <row r="228" spans="1:2">
      <c r="A228" s="58"/>
      <c r="B228" s="131"/>
    </row>
    <row r="229" spans="1:2">
      <c r="A229" s="58"/>
      <c r="B229" s="131"/>
    </row>
    <row r="230" spans="1:2">
      <c r="A230" s="58"/>
      <c r="B230" s="131"/>
    </row>
    <row r="231" spans="1:2">
      <c r="A231" s="58"/>
      <c r="B231" s="131"/>
    </row>
    <row r="232" spans="1:2">
      <c r="A232" s="58"/>
      <c r="B232" s="131"/>
    </row>
    <row r="233" spans="1:2">
      <c r="A233" s="58"/>
      <c r="B233" s="131"/>
    </row>
    <row r="234" spans="1:2">
      <c r="A234" s="58"/>
      <c r="B234" s="131"/>
    </row>
    <row r="235" spans="1:2">
      <c r="A235" s="58"/>
      <c r="B235" s="131"/>
    </row>
    <row r="236" spans="1:2">
      <c r="A236" s="58"/>
      <c r="B236" s="131"/>
    </row>
    <row r="237" spans="1:2">
      <c r="A237" s="58"/>
      <c r="B237" s="131"/>
    </row>
    <row r="238" spans="1:2">
      <c r="A238" s="58"/>
      <c r="B238" s="131"/>
    </row>
    <row r="239" spans="1:2">
      <c r="A239" s="58"/>
      <c r="B239" s="131"/>
    </row>
    <row r="240" spans="1:2">
      <c r="A240" s="58"/>
      <c r="B240" s="131"/>
    </row>
    <row r="241" spans="1:2">
      <c r="A241" s="58"/>
      <c r="B241" s="131"/>
    </row>
    <row r="242" spans="1:2">
      <c r="A242" s="58"/>
      <c r="B242" s="131"/>
    </row>
    <row r="243" spans="1:2">
      <c r="A243" s="58"/>
      <c r="B243" s="131"/>
    </row>
    <row r="244" spans="1:2">
      <c r="A244" s="58"/>
      <c r="B244" s="131"/>
    </row>
    <row r="245" spans="1:2">
      <c r="A245" s="58"/>
      <c r="B245" s="131"/>
    </row>
    <row r="246" spans="1:2">
      <c r="A246" s="58"/>
      <c r="B246" s="131"/>
    </row>
    <row r="247" spans="1:2">
      <c r="A247" s="58"/>
      <c r="B247" s="131"/>
    </row>
    <row r="248" spans="1:2">
      <c r="A248" s="58"/>
      <c r="B248" s="131"/>
    </row>
    <row r="249" spans="1:2">
      <c r="A249" s="58"/>
      <c r="B249" s="131"/>
    </row>
    <row r="250" spans="1:2">
      <c r="A250" s="58"/>
      <c r="B250" s="131"/>
    </row>
    <row r="251" spans="1:2">
      <c r="A251" s="58"/>
      <c r="B251" s="131"/>
    </row>
    <row r="252" spans="1:2">
      <c r="A252" s="58"/>
      <c r="B252" s="131"/>
    </row>
    <row r="253" spans="1:2">
      <c r="A253" s="58"/>
      <c r="B253" s="131"/>
    </row>
    <row r="254" spans="1:2">
      <c r="A254" s="58"/>
      <c r="B254" s="131"/>
    </row>
    <row r="255" spans="1:2">
      <c r="A255" s="58"/>
      <c r="B255" s="131"/>
    </row>
    <row r="256" spans="1:2">
      <c r="A256" s="58"/>
      <c r="B256" s="131"/>
    </row>
    <row r="257" spans="1:2">
      <c r="A257" s="58"/>
      <c r="B257" s="131"/>
    </row>
    <row r="258" spans="1:2">
      <c r="A258" s="58"/>
      <c r="B258" s="131"/>
    </row>
    <row r="259" spans="1:2">
      <c r="A259" s="58"/>
      <c r="B259" s="131"/>
    </row>
    <row r="260" spans="1:2">
      <c r="A260" s="58"/>
      <c r="B260" s="131"/>
    </row>
    <row r="261" spans="1:2">
      <c r="A261" s="58"/>
      <c r="B261" s="131"/>
    </row>
    <row r="262" spans="1:2">
      <c r="A262" s="58"/>
      <c r="B262" s="131"/>
    </row>
    <row r="263" spans="1:2">
      <c r="A263" s="58"/>
      <c r="B263" s="131"/>
    </row>
    <row r="264" spans="1:2">
      <c r="A264" s="58"/>
      <c r="B264" s="131"/>
    </row>
    <row r="265" spans="1:2">
      <c r="A265" s="58"/>
      <c r="B265" s="131"/>
    </row>
    <row r="266" spans="1:2">
      <c r="A266" s="58"/>
      <c r="B266" s="131"/>
    </row>
    <row r="267" spans="1:2">
      <c r="A267" s="58"/>
      <c r="B267" s="131"/>
    </row>
    <row r="268" spans="1:2">
      <c r="A268" s="58"/>
      <c r="B268" s="131"/>
    </row>
    <row r="269" spans="1:2">
      <c r="A269" s="58"/>
      <c r="B269" s="131"/>
    </row>
    <row r="270" spans="1:2">
      <c r="A270" s="58"/>
      <c r="B270" s="131"/>
    </row>
    <row r="271" spans="1:2">
      <c r="A271" s="58"/>
      <c r="B271" s="131"/>
    </row>
    <row r="272" spans="1:2">
      <c r="A272" s="58"/>
      <c r="B272" s="131"/>
    </row>
    <row r="273" spans="1:2">
      <c r="A273" s="58"/>
      <c r="B273" s="131"/>
    </row>
  </sheetData>
  <mergeCells count="26">
    <mergeCell ref="A63:B63"/>
    <mergeCell ref="H8:H9"/>
    <mergeCell ref="I8:I9"/>
    <mergeCell ref="A10:B10"/>
    <mergeCell ref="A41:B41"/>
    <mergeCell ref="E8:E9"/>
    <mergeCell ref="F8:F9"/>
    <mergeCell ref="G8:G9"/>
    <mergeCell ref="A42:B42"/>
    <mergeCell ref="A62:B62"/>
    <mergeCell ref="L8:L9"/>
    <mergeCell ref="M8:M9"/>
    <mergeCell ref="N8:N9"/>
    <mergeCell ref="G1:K1"/>
    <mergeCell ref="A5:A9"/>
    <mergeCell ref="B5:B9"/>
    <mergeCell ref="C5:E5"/>
    <mergeCell ref="F5:H5"/>
    <mergeCell ref="I5:K5"/>
    <mergeCell ref="C6:E7"/>
    <mergeCell ref="J8:J9"/>
    <mergeCell ref="K8:K9"/>
    <mergeCell ref="F6:H7"/>
    <mergeCell ref="I6:K7"/>
    <mergeCell ref="C8:C9"/>
    <mergeCell ref="D8:D9"/>
  </mergeCells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4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13</vt:i4>
      </vt:variant>
    </vt:vector>
  </HeadingPairs>
  <TitlesOfParts>
    <vt:vector size="21" baseType="lpstr">
      <vt:lpstr>Baross</vt:lpstr>
      <vt:lpstr>Alsóerdősor</vt:lpstr>
      <vt:lpstr>Erzsébetváros</vt:lpstr>
      <vt:lpstr>Janikovszky</vt:lpstr>
      <vt:lpstr>Magyar-angol</vt:lpstr>
      <vt:lpstr>ERISZ1</vt:lpstr>
      <vt:lpstr>ERISZ+SZOGYESZ</vt:lpstr>
      <vt:lpstr>SZOGYESZ+ERESZ+ERISZ</vt:lpstr>
      <vt:lpstr>Alsóerdősor!Nyomtatási_cím</vt:lpstr>
      <vt:lpstr>Baross!Nyomtatási_cím</vt:lpstr>
      <vt:lpstr>Erzsébetváros!Nyomtatási_cím</vt:lpstr>
      <vt:lpstr>Janikovszky!Nyomtatási_cím</vt:lpstr>
      <vt:lpstr>'Magyar-angol'!Nyomtatási_cím</vt:lpstr>
      <vt:lpstr>Alsóerdősor!Nyomtatási_terület</vt:lpstr>
      <vt:lpstr>Baross!Nyomtatási_terület</vt:lpstr>
      <vt:lpstr>'ERISZ+SZOGYESZ'!Nyomtatási_terület</vt:lpstr>
      <vt:lpstr>ERISZ1!Nyomtatási_terület</vt:lpstr>
      <vt:lpstr>Erzsébetváros!Nyomtatási_terület</vt:lpstr>
      <vt:lpstr>Janikovszky!Nyomtatási_terület</vt:lpstr>
      <vt:lpstr>'Magyar-angol'!Nyomtatási_terület</vt:lpstr>
      <vt:lpstr>'SZOGYESZ+ERESZ+ERISZ'!Nyomtatási_terület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2011-02-15T15:39:20Z</dcterms:modified>
</cp:coreProperties>
</file>