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40" windowWidth="9720" windowHeight="667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tartalék!$1:$8</definedName>
    <definedName name="_xlnm.Print_Area" localSheetId="1">tartalék!$A$1:$K$97</definedName>
  </definedNames>
  <calcPr calcId="145621"/>
</workbook>
</file>

<file path=xl/calcChain.xml><?xml version="1.0" encoding="utf-8"?>
<calcChain xmlns="http://schemas.openxmlformats.org/spreadsheetml/2006/main">
  <c r="F17" i="2" l="1"/>
  <c r="G53" i="2"/>
  <c r="F50" i="2"/>
  <c r="F45" i="2" l="1"/>
  <c r="G64" i="2" l="1"/>
  <c r="F64" i="2"/>
  <c r="H27" i="2" l="1"/>
  <c r="G18" i="2" l="1"/>
  <c r="G34" i="2" l="1"/>
  <c r="H34" i="2" s="1"/>
  <c r="H78" i="2" l="1"/>
  <c r="H32" i="2"/>
  <c r="H39" i="2"/>
  <c r="H40" i="2"/>
  <c r="F19" i="2" l="1"/>
  <c r="G17" i="2"/>
  <c r="F40" i="2" l="1"/>
  <c r="F39" i="2"/>
  <c r="H45" i="2" l="1"/>
  <c r="F78" i="2" l="1"/>
  <c r="E50" i="2" l="1"/>
  <c r="H35" i="2" l="1"/>
  <c r="F35" i="2"/>
  <c r="H68" i="2" l="1"/>
  <c r="F68" i="2"/>
  <c r="C82" i="2" l="1"/>
  <c r="D93" i="2"/>
  <c r="D90" i="2"/>
  <c r="D79" i="2"/>
  <c r="D77" i="2"/>
  <c r="D76" i="2"/>
  <c r="D75" i="2"/>
  <c r="D64" i="2"/>
  <c r="C64" i="2"/>
  <c r="C61" i="2"/>
  <c r="C60" i="2"/>
  <c r="C50" i="2"/>
  <c r="C47" i="2"/>
  <c r="C38" i="2"/>
  <c r="D53" i="2"/>
  <c r="D37" i="2"/>
  <c r="C29" i="2"/>
  <c r="C19" i="2"/>
  <c r="D18" i="2"/>
  <c r="D17" i="2"/>
  <c r="C17" i="2"/>
  <c r="H79" i="2" l="1"/>
  <c r="H77" i="2"/>
  <c r="H76" i="2"/>
  <c r="H75" i="2"/>
  <c r="H18" i="2"/>
  <c r="H93" i="2" l="1"/>
  <c r="H90" i="2"/>
  <c r="J18" i="2" l="1"/>
  <c r="J29" i="2"/>
  <c r="J30" i="2"/>
  <c r="J31" i="2"/>
  <c r="J34" i="2"/>
  <c r="J35" i="2"/>
  <c r="J36" i="2"/>
  <c r="J37" i="2"/>
  <c r="I18" i="2"/>
  <c r="I19" i="2"/>
  <c r="I20" i="2"/>
  <c r="I23" i="2"/>
  <c r="I24" i="2"/>
  <c r="I25" i="2"/>
  <c r="I28" i="2"/>
  <c r="I30" i="2"/>
  <c r="I31" i="2"/>
  <c r="I32" i="2"/>
  <c r="I33" i="2"/>
  <c r="I34" i="2"/>
  <c r="I36" i="2"/>
  <c r="I37" i="2"/>
  <c r="I38" i="2"/>
  <c r="I39" i="2"/>
  <c r="I40" i="2"/>
  <c r="I44" i="2"/>
  <c r="I46" i="2"/>
  <c r="I48" i="2"/>
  <c r="I49" i="2"/>
  <c r="K36" i="2"/>
  <c r="K42" i="2"/>
  <c r="K46" i="2"/>
  <c r="H19" i="2"/>
  <c r="H37" i="2"/>
  <c r="H38" i="2"/>
  <c r="K41" i="2"/>
  <c r="H47" i="2"/>
  <c r="H48" i="2"/>
  <c r="K48" i="2" s="1"/>
  <c r="H49" i="2"/>
  <c r="K49" i="2" s="1"/>
  <c r="E49" i="2"/>
  <c r="H29" i="2" l="1"/>
  <c r="I62" i="2" l="1"/>
  <c r="I63" i="2"/>
  <c r="I64" i="2"/>
  <c r="H50" i="2" l="1"/>
  <c r="K50" i="2" s="1"/>
  <c r="I50" i="2"/>
  <c r="H82" i="2"/>
  <c r="G32" i="2"/>
  <c r="H60" i="2"/>
  <c r="H61" i="2"/>
  <c r="H64" i="2"/>
  <c r="F56" i="2" l="1"/>
  <c r="C78" i="2" l="1"/>
  <c r="C68" i="2"/>
  <c r="I47" i="2"/>
  <c r="C45" i="2"/>
  <c r="I45" i="2" s="1"/>
  <c r="D43" i="2"/>
  <c r="J43" i="2" s="1"/>
  <c r="C35" i="2"/>
  <c r="I35" i="2" s="1"/>
  <c r="D33" i="2"/>
  <c r="J33" i="2" s="1"/>
  <c r="D32" i="2"/>
  <c r="J32" i="2" s="1"/>
  <c r="I29" i="2"/>
  <c r="C26" i="2"/>
  <c r="I26" i="2" s="1"/>
  <c r="C22" i="2"/>
  <c r="I22" i="2" s="1"/>
  <c r="C21" i="2"/>
  <c r="I21" i="2" s="1"/>
  <c r="E47" i="2" l="1"/>
  <c r="K47" i="2" s="1"/>
  <c r="E45" i="2" l="1"/>
  <c r="K45" i="2" s="1"/>
  <c r="C27" i="2" l="1"/>
  <c r="I27" i="2" s="1"/>
  <c r="E44" i="2" l="1"/>
  <c r="K44" i="2" s="1"/>
  <c r="J90" i="2" l="1"/>
  <c r="J75" i="2"/>
  <c r="J76" i="2"/>
  <c r="J77" i="2"/>
  <c r="J79" i="2"/>
  <c r="J64" i="2"/>
  <c r="J53" i="2"/>
  <c r="J12" i="2"/>
  <c r="E90" i="2"/>
  <c r="I78" i="2"/>
  <c r="I82" i="2"/>
  <c r="I83" i="2"/>
  <c r="I84" i="2"/>
  <c r="I85" i="2"/>
  <c r="I68" i="2"/>
  <c r="I61" i="2"/>
  <c r="I60" i="2"/>
  <c r="I12" i="2"/>
  <c r="H12" i="2"/>
  <c r="E79" i="2"/>
  <c r="K79" i="2" s="1"/>
  <c r="E78" i="2"/>
  <c r="K78" i="2" s="1"/>
  <c r="E68" i="2"/>
  <c r="K68" i="2" s="1"/>
  <c r="J17" i="2"/>
  <c r="I17" i="2"/>
  <c r="J88" i="2" l="1"/>
  <c r="I56" i="2"/>
  <c r="K90" i="2"/>
  <c r="J56" i="2"/>
  <c r="H53" i="2"/>
  <c r="H17" i="2"/>
  <c r="H56" i="2" l="1"/>
  <c r="F88" i="2"/>
  <c r="G88" i="2"/>
  <c r="H88" i="2"/>
  <c r="I88" i="2"/>
  <c r="I96" i="2" s="1"/>
  <c r="G56" i="2"/>
  <c r="E12" i="2"/>
  <c r="K12" i="2" s="1"/>
  <c r="G96" i="2" l="1"/>
  <c r="F96" i="2"/>
  <c r="H96" i="2"/>
  <c r="D88" i="2" l="1"/>
  <c r="C88" i="2"/>
  <c r="J93" i="2" l="1"/>
  <c r="J96" i="2" s="1"/>
  <c r="E93" i="2"/>
  <c r="K93" i="2" s="1"/>
  <c r="C56" i="2"/>
  <c r="C96" i="2" s="1"/>
  <c r="E43" i="2"/>
  <c r="K43" i="2" s="1"/>
  <c r="E38" i="2" l="1"/>
  <c r="K38" i="2" s="1"/>
  <c r="E39" i="2"/>
  <c r="K39" i="2" s="1"/>
  <c r="E40" i="2"/>
  <c r="K40" i="2" s="1"/>
  <c r="E37" i="2" l="1"/>
  <c r="K37" i="2" s="1"/>
  <c r="E34" i="2"/>
  <c r="K34" i="2" s="1"/>
  <c r="E85" i="2" l="1"/>
  <c r="K85" i="2" s="1"/>
  <c r="E32" i="2" l="1"/>
  <c r="K32" i="2" s="1"/>
  <c r="E33" i="2"/>
  <c r="K33" i="2" s="1"/>
  <c r="E31" i="2"/>
  <c r="K31" i="2" s="1"/>
  <c r="E30" i="2" l="1"/>
  <c r="K30" i="2" s="1"/>
  <c r="E27" i="2" l="1"/>
  <c r="K27" i="2" s="1"/>
  <c r="E26" i="2"/>
  <c r="K26" i="2" s="1"/>
  <c r="E25" i="2"/>
  <c r="K25" i="2" s="1"/>
  <c r="E61" i="2" l="1"/>
  <c r="K61" i="2" s="1"/>
  <c r="E64" i="2"/>
  <c r="K64" i="2" s="1"/>
  <c r="E35" i="2"/>
  <c r="K35" i="2" s="1"/>
  <c r="E29" i="2"/>
  <c r="K29" i="2" s="1"/>
  <c r="E28" i="2"/>
  <c r="K28" i="2" s="1"/>
  <c r="E24" i="2"/>
  <c r="K24" i="2" s="1"/>
  <c r="E23" i="2" l="1"/>
  <c r="K23" i="2" s="1"/>
  <c r="E22" i="2"/>
  <c r="K22" i="2" s="1"/>
  <c r="E21" i="2"/>
  <c r="K21" i="2" s="1"/>
  <c r="E82" i="2"/>
  <c r="K82" i="2" s="1"/>
  <c r="E83" i="2"/>
  <c r="K83" i="2" s="1"/>
  <c r="E84" i="2"/>
  <c r="K84" i="2" s="1"/>
  <c r="E76" i="2"/>
  <c r="K76" i="2" s="1"/>
  <c r="E20" i="2"/>
  <c r="K20" i="2" s="1"/>
  <c r="E19" i="2"/>
  <c r="K19" i="2" s="1"/>
  <c r="E77" i="2"/>
  <c r="K77" i="2" s="1"/>
  <c r="E75" i="2"/>
  <c r="K75" i="2" s="1"/>
  <c r="E60" i="2"/>
  <c r="E17" i="2"/>
  <c r="K17" i="2" s="1"/>
  <c r="E18" i="2"/>
  <c r="K18" i="2" s="1"/>
  <c r="E53" i="2"/>
  <c r="K53" i="2" s="1"/>
  <c r="D56" i="2"/>
  <c r="E88" i="2" l="1"/>
  <c r="K60" i="2"/>
  <c r="K88" i="2" s="1"/>
  <c r="K56" i="2"/>
  <c r="E56" i="2"/>
  <c r="D96" i="2"/>
  <c r="K96" i="2" l="1"/>
  <c r="E96" i="2"/>
</calcChain>
</file>

<file path=xl/sharedStrings.xml><?xml version="1.0" encoding="utf-8"?>
<sst xmlns="http://schemas.openxmlformats.org/spreadsheetml/2006/main" count="92" uniqueCount="90">
  <si>
    <t>szám</t>
  </si>
  <si>
    <t>Budapest Főváros VII. Kerület Erzsébetváros Önkormányzata</t>
  </si>
  <si>
    <t>Tartalék jogcíme</t>
  </si>
  <si>
    <t>Általános tartalék</t>
  </si>
  <si>
    <t xml:space="preserve">  Általános tartalék</t>
  </si>
  <si>
    <t>7101=7100</t>
  </si>
  <si>
    <t xml:space="preserve">  Központilag kezelt sport pályázatok és feladatok </t>
  </si>
  <si>
    <t xml:space="preserve">   Központilag kezelt kerület-fejlesztési pályázatok és feladatok</t>
  </si>
  <si>
    <t xml:space="preserve">         előirányzata  összesen</t>
  </si>
  <si>
    <t xml:space="preserve">  Központilag kezelt ágazati feladatok </t>
  </si>
  <si>
    <t xml:space="preserve">  Központilag kezelt közművelődési pályázatok és feladatok</t>
  </si>
  <si>
    <t xml:space="preserve">  Központilag kezelt szociális és egészségügyi pályázatok és feladatok</t>
  </si>
  <si>
    <t xml:space="preserve">   Központilag kezelt közrendvédelmi, környezetvédelmi pályázatok és feladatok</t>
  </si>
  <si>
    <t xml:space="preserve">      Társasházi felújítási pályázat (kölcsön)</t>
  </si>
  <si>
    <t>Tartalék előirányzat mindösszesen (3+4)</t>
  </si>
  <si>
    <t>Működési célra</t>
  </si>
  <si>
    <t>Felhalmozási célra</t>
  </si>
  <si>
    <t>7401=7400</t>
  </si>
  <si>
    <t xml:space="preserve">        céltartalékok előirányzata összesen</t>
  </si>
  <si>
    <t xml:space="preserve">  Polgármesterre átruházott döntési  hatáskörű</t>
  </si>
  <si>
    <t xml:space="preserve">      Gázvezeték felújítási kölcsön</t>
  </si>
  <si>
    <t>Céltartalék</t>
  </si>
  <si>
    <t>Cím-</t>
  </si>
  <si>
    <t xml:space="preserve">        Kerületi egyházak támogatása</t>
  </si>
  <si>
    <t xml:space="preserve">         Erzsébetvárosi Civil Szervezetek Kerete</t>
  </si>
  <si>
    <t xml:space="preserve"> </t>
  </si>
  <si>
    <t>Központilag kezelt  beruházási célú tartalék (kötvényből)</t>
  </si>
  <si>
    <t xml:space="preserve">      Kémény felújítási pályázat (kölcsön)</t>
  </si>
  <si>
    <t xml:space="preserve">      Környezetvédelmi célú tartalék</t>
  </si>
  <si>
    <t>2012. évi költségvetési tartalék előirányzata</t>
  </si>
  <si>
    <t xml:space="preserve">      Pályázat kapufigyelő rendszer kialakítására</t>
  </si>
  <si>
    <t xml:space="preserve">      Kaputelefon pályázat</t>
  </si>
  <si>
    <t xml:space="preserve">      Növényesítési pályázat</t>
  </si>
  <si>
    <t>"Mozdulj Erzsébetváros!"</t>
  </si>
  <si>
    <t>Gyümölcsellátás a nevelési és oktatási intézményekbe járó gyermekek és tanulók részére (heti két alkalommal)</t>
  </si>
  <si>
    <t>Tanulók ingyenes tankönyvellátása (normatív állami hozzájárulás)</t>
  </si>
  <si>
    <t>Tanulók ingyenes tankönyvtámogatása VII. kerületi lakosok részére</t>
  </si>
  <si>
    <t>7501=7500</t>
  </si>
  <si>
    <t>Szakértői, tanácsadói feladatok</t>
  </si>
  <si>
    <t>Kommunikációs feladatok</t>
  </si>
  <si>
    <t>Média Nonprofit Kft. beruházási tartaléka</t>
  </si>
  <si>
    <t xml:space="preserve">  Szociális és egészségügyi napok</t>
  </si>
  <si>
    <t xml:space="preserve">         Nemzetiségi Önkormányzatok kulturális kerete</t>
  </si>
  <si>
    <t xml:space="preserve">        Önkormányzati rendezvények</t>
  </si>
  <si>
    <t xml:space="preserve">       (Idősek Világnapja, szociális munka napja, bölcsődei dolgozók napja, Semmelweis nap, Szoptatás Világnapja)</t>
  </si>
  <si>
    <t xml:space="preserve">             (Erzsébetvárosi Napok, Testvérvárosi kapcsolatok, Erzsébetvárosi nemzeti és helyi ünnepek)</t>
  </si>
  <si>
    <t>Rendkívüli önkormányzati kiadások biztosítása</t>
  </si>
  <si>
    <t>Folyamatban lévő beruházások fedezetéhez igénybevett hitelek kamatkiadása</t>
  </si>
  <si>
    <t>Rendkívüli káresemények kerete</t>
  </si>
  <si>
    <t>Intra orális fogászati röntgen gép</t>
  </si>
  <si>
    <t>Erzsébetvárosi szociális térkép, stratégiai megvalósítás</t>
  </si>
  <si>
    <t>Szociális és egészségügyi rendezvény Rózsák tere 2012.</t>
  </si>
  <si>
    <t>Szociális és egészségügyi rendezvények</t>
  </si>
  <si>
    <t>Karácsonyi ünnepség a kerületi családoknak</t>
  </si>
  <si>
    <t>Roma stratégia és koncepció kidolgozása</t>
  </si>
  <si>
    <t>Húsvéti szociális kirakodó vásár</t>
  </si>
  <si>
    <t>Szűrővizsgálat lefolytatása</t>
  </si>
  <si>
    <t>Polgármesteri Hivatal szervezeti hatékonyságának vizsgálata</t>
  </si>
  <si>
    <t>Intézményi karbantartás és kisértékű tárgyi eszköz beszerzés</t>
  </si>
  <si>
    <t>Erzsébetvárosi  Egészségügyi Szolgálat orvosi rendelők részére tárgyi eszközök beszerzése</t>
  </si>
  <si>
    <t>Alsóerdősori Bárdos Lajos Általános Iskola és Gimnáziumban lévő természettudományi szaktanterem átalakításához szükséges berendezési tárgyak</t>
  </si>
  <si>
    <t>3 db kisteherautó kerékbilincseléshez</t>
  </si>
  <si>
    <t>Kerékbilincsek</t>
  </si>
  <si>
    <t>Fűtés korszerűsítés energia racionalizálással pályázat keretén belül 25 % önrésszel (bölcsődével együtt)</t>
  </si>
  <si>
    <t>Fővárosi turisztikai feladatok</t>
  </si>
  <si>
    <t>Erzsébetváros Kft. részére menedzsment díj a Kultúra utcája pályázat lezárása érdekében</t>
  </si>
  <si>
    <t>Kultúra utcája pályázat önerő része a Magyarországi Orthodox Izraelita Hitközség részére</t>
  </si>
  <si>
    <t xml:space="preserve"> Tartalék előirányzat összesen (7100+7200+7300+7400+7500)</t>
  </si>
  <si>
    <t>Módosított előirányzat</t>
  </si>
  <si>
    <t>Módosítás</t>
  </si>
  <si>
    <t>Működési
célra</t>
  </si>
  <si>
    <t>Felhalmozási
célra</t>
  </si>
  <si>
    <t>Tartalék előirányzat mindösszesen
(6+7)</t>
  </si>
  <si>
    <t>Tartalék előirányzat mindösszesen
(9+10)</t>
  </si>
  <si>
    <t>ezer Ft</t>
  </si>
  <si>
    <t>Nyári táborok (pályázat)</t>
  </si>
  <si>
    <t xml:space="preserve">      Települési értékvédelem</t>
  </si>
  <si>
    <t xml:space="preserve">      Tetőjárda felújítása</t>
  </si>
  <si>
    <t>Bischitz Johanna Integrált Humán Szolgáltató Központ belső ellenőrzése</t>
  </si>
  <si>
    <t>Érvényes</t>
  </si>
  <si>
    <r>
      <t xml:space="preserve">  </t>
    </r>
    <r>
      <rPr>
        <b/>
        <sz val="12"/>
        <rFont val="Times New Roman"/>
        <family val="1"/>
        <charset val="238"/>
      </rPr>
      <t>Bizottságokra átruházott döntési hatáskörű céltartalékok</t>
    </r>
  </si>
  <si>
    <t>Önkormányzati biztonsági és előtörlesztési tartalék</t>
  </si>
  <si>
    <t xml:space="preserve">  Központilag kezelt pályázati önrész és előfinanszírozás, közbeszerzések</t>
  </si>
  <si>
    <t>Önkormányzati rendezvények</t>
  </si>
  <si>
    <t>(Erzsébetvárosi Napok, Testvérvárosi kapcsolatok, Erzsébetvárosi nemzeti és helyi ünnepek)</t>
  </si>
  <si>
    <t>Szociális és egészségügyi napok</t>
  </si>
  <si>
    <t>(Idősek Világnapja, szociális munka napja, bölcsődei dolgozók napja, Semmelweis nap, Szoptatás Világnapja)</t>
  </si>
  <si>
    <t xml:space="preserve">         Pályázati önerő, közbeszerzések</t>
  </si>
  <si>
    <t>Intézményi energia audit</t>
  </si>
  <si>
    <t>Költségvetési szerveknél foglalkoztatottak 2012. évi kompenzációja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</si>
</sst>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10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160">
    <xf numFmtId="0" fontId="0" fillId="0" borderId="0" xfId="0"/>
    <xf numFmtId="0" fontId="5" fillId="0" borderId="0" xfId="0" applyFont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0" fontId="6" fillId="0" borderId="15" xfId="0" applyFont="1" applyBorder="1"/>
    <xf numFmtId="0" fontId="6" fillId="0" borderId="0" xfId="0" applyFont="1"/>
    <xf numFmtId="0" fontId="5" fillId="0" borderId="20" xfId="0" applyFont="1" applyBorder="1"/>
    <xf numFmtId="0" fontId="5" fillId="0" borderId="15" xfId="0" applyFont="1" applyBorder="1"/>
    <xf numFmtId="0" fontId="7" fillId="0" borderId="0" xfId="0" applyFont="1"/>
    <xf numFmtId="0" fontId="6" fillId="0" borderId="0" xfId="0" applyFont="1" applyBorder="1"/>
    <xf numFmtId="0" fontId="5" fillId="0" borderId="23" xfId="0" applyFont="1" applyBorder="1"/>
    <xf numFmtId="0" fontId="9" fillId="0" borderId="0" xfId="0" applyFont="1" applyBorder="1"/>
    <xf numFmtId="0" fontId="5" fillId="0" borderId="0" xfId="0" applyFont="1" applyFill="1"/>
    <xf numFmtId="0" fontId="5" fillId="0" borderId="26" xfId="0" applyFont="1" applyBorder="1"/>
    <xf numFmtId="3" fontId="6" fillId="0" borderId="0" xfId="0" applyNumberFormat="1" applyFont="1" applyBorder="1" applyAlignment="1">
      <alignment horizontal="right"/>
    </xf>
    <xf numFmtId="0" fontId="5" fillId="0" borderId="0" xfId="0" applyFont="1" applyFill="1" applyBorder="1"/>
    <xf numFmtId="0" fontId="7" fillId="0" borderId="0" xfId="0" applyFont="1" applyBorder="1"/>
    <xf numFmtId="0" fontId="5" fillId="0" borderId="0" xfId="0" applyFont="1" applyBorder="1" applyAlignment="1">
      <alignment horizontal="center"/>
    </xf>
    <xf numFmtId="0" fontId="9" fillId="0" borderId="0" xfId="0" applyFont="1"/>
    <xf numFmtId="0" fontId="9" fillId="0" borderId="0" xfId="0" applyFont="1" applyBorder="1" applyAlignment="1">
      <alignment horizontal="right"/>
    </xf>
    <xf numFmtId="0" fontId="9" fillId="0" borderId="3" xfId="0" applyFont="1" applyBorder="1"/>
    <xf numFmtId="0" fontId="9" fillId="0" borderId="4" xfId="0" applyFont="1" applyBorder="1"/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Continuous" vertical="center" wrapText="1"/>
    </xf>
    <xf numFmtId="0" fontId="9" fillId="0" borderId="6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3" fontId="9" fillId="0" borderId="10" xfId="0" applyNumberFormat="1" applyFont="1" applyBorder="1" applyAlignment="1">
      <alignment horizontal="right"/>
    </xf>
    <xf numFmtId="3" fontId="9" fillId="0" borderId="11" xfId="0" applyNumberFormat="1" applyFont="1" applyBorder="1" applyAlignment="1">
      <alignment horizontal="right"/>
    </xf>
    <xf numFmtId="0" fontId="9" fillId="0" borderId="31" xfId="0" applyFont="1" applyBorder="1"/>
    <xf numFmtId="0" fontId="9" fillId="0" borderId="24" xfId="0" applyFont="1" applyBorder="1"/>
    <xf numFmtId="0" fontId="9" fillId="0" borderId="11" xfId="0" applyFont="1" applyBorder="1"/>
    <xf numFmtId="0" fontId="9" fillId="0" borderId="38" xfId="0" applyFont="1" applyBorder="1"/>
    <xf numFmtId="0" fontId="9" fillId="0" borderId="39" xfId="0" applyFont="1" applyBorder="1"/>
    <xf numFmtId="0" fontId="8" fillId="0" borderId="9" xfId="0" applyFont="1" applyBorder="1" applyAlignment="1">
      <alignment horizontal="center"/>
    </xf>
    <xf numFmtId="0" fontId="9" fillId="0" borderId="27" xfId="0" applyFont="1" applyBorder="1"/>
    <xf numFmtId="0" fontId="9" fillId="0" borderId="10" xfId="0" applyFont="1" applyBorder="1"/>
    <xf numFmtId="0" fontId="9" fillId="0" borderId="37" xfId="0" applyFont="1" applyBorder="1"/>
    <xf numFmtId="0" fontId="9" fillId="0" borderId="29" xfId="0" applyFont="1" applyBorder="1"/>
    <xf numFmtId="0" fontId="8" fillId="0" borderId="12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3" fontId="8" fillId="0" borderId="15" xfId="0" applyNumberFormat="1" applyFont="1" applyBorder="1"/>
    <xf numFmtId="3" fontId="8" fillId="0" borderId="13" xfId="0" applyNumberFormat="1" applyFont="1" applyBorder="1" applyAlignment="1">
      <alignment horizontal="right"/>
    </xf>
    <xf numFmtId="3" fontId="8" fillId="0" borderId="14" xfId="0" applyNumberFormat="1" applyFont="1" applyBorder="1" applyAlignment="1">
      <alignment horizontal="right"/>
    </xf>
    <xf numFmtId="0" fontId="8" fillId="0" borderId="34" xfId="0" applyFont="1" applyBorder="1"/>
    <xf numFmtId="0" fontId="8" fillId="0" borderId="13" xfId="0" applyFont="1" applyBorder="1"/>
    <xf numFmtId="0" fontId="8" fillId="0" borderId="14" xfId="0" applyFont="1" applyBorder="1"/>
    <xf numFmtId="3" fontId="8" fillId="0" borderId="43" xfId="0" applyNumberFormat="1" applyFont="1" applyBorder="1"/>
    <xf numFmtId="3" fontId="8" fillId="0" borderId="34" xfId="0" applyNumberFormat="1" applyFont="1" applyBorder="1"/>
    <xf numFmtId="3" fontId="8" fillId="0" borderId="30" xfId="0" applyNumberFormat="1" applyFont="1" applyBorder="1"/>
    <xf numFmtId="0" fontId="8" fillId="0" borderId="4" xfId="0" applyFont="1" applyBorder="1" applyAlignment="1">
      <alignment horizontal="left"/>
    </xf>
    <xf numFmtId="0" fontId="8" fillId="0" borderId="0" xfId="0" applyFont="1" applyBorder="1"/>
    <xf numFmtId="3" fontId="8" fillId="0" borderId="10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0" fontId="8" fillId="0" borderId="27" xfId="0" applyFont="1" applyBorder="1"/>
    <xf numFmtId="0" fontId="8" fillId="0" borderId="10" xfId="0" applyFont="1" applyBorder="1"/>
    <xf numFmtId="0" fontId="8" fillId="0" borderId="11" xfId="0" applyFont="1" applyBorder="1"/>
    <xf numFmtId="3" fontId="9" fillId="0" borderId="48" xfId="0" applyNumberFormat="1" applyFont="1" applyBorder="1"/>
    <xf numFmtId="3" fontId="9" fillId="0" borderId="33" xfId="0" applyNumberFormat="1" applyFont="1" applyBorder="1"/>
    <xf numFmtId="0" fontId="8" fillId="0" borderId="29" xfId="0" applyFont="1" applyBorder="1"/>
    <xf numFmtId="3" fontId="9" fillId="0" borderId="37" xfId="0" applyNumberFormat="1" applyFont="1" applyBorder="1"/>
    <xf numFmtId="3" fontId="9" fillId="0" borderId="27" xfId="0" applyNumberFormat="1" applyFont="1" applyBorder="1"/>
    <xf numFmtId="0" fontId="9" fillId="0" borderId="4" xfId="0" applyFont="1" applyBorder="1" applyAlignment="1">
      <alignment horizontal="left"/>
    </xf>
    <xf numFmtId="0" fontId="9" fillId="0" borderId="4" xfId="0" applyFont="1" applyBorder="1" applyAlignment="1">
      <alignment horizontal="left" vertical="top" indent="3"/>
    </xf>
    <xf numFmtId="3" fontId="9" fillId="0" borderId="27" xfId="0" applyNumberFormat="1" applyFont="1" applyBorder="1" applyAlignment="1">
      <alignment horizontal="right"/>
    </xf>
    <xf numFmtId="3" fontId="8" fillId="0" borderId="29" xfId="0" applyNumberFormat="1" applyFont="1" applyBorder="1"/>
    <xf numFmtId="0" fontId="9" fillId="0" borderId="4" xfId="0" applyFont="1" applyBorder="1" applyAlignment="1">
      <alignment horizontal="left" indent="3"/>
    </xf>
    <xf numFmtId="0" fontId="9" fillId="0" borderId="9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left" indent="3"/>
    </xf>
    <xf numFmtId="3" fontId="9" fillId="0" borderId="27" xfId="0" applyNumberFormat="1" applyFont="1" applyFill="1" applyBorder="1" applyAlignment="1">
      <alignment horizontal="right"/>
    </xf>
    <xf numFmtId="3" fontId="8" fillId="0" borderId="11" xfId="0" applyNumberFormat="1" applyFont="1" applyFill="1" applyBorder="1" applyAlignment="1">
      <alignment horizontal="right"/>
    </xf>
    <xf numFmtId="0" fontId="9" fillId="0" borderId="27" xfId="0" applyFont="1" applyFill="1" applyBorder="1"/>
    <xf numFmtId="0" fontId="9" fillId="0" borderId="4" xfId="0" applyFont="1" applyBorder="1" applyAlignment="1">
      <alignment horizontal="left" wrapText="1" indent="3"/>
    </xf>
    <xf numFmtId="3" fontId="8" fillId="0" borderId="29" xfId="0" applyNumberFormat="1" applyFont="1" applyBorder="1" applyAlignment="1">
      <alignment horizontal="right"/>
    </xf>
    <xf numFmtId="0" fontId="9" fillId="0" borderId="9" xfId="0" applyFont="1" applyBorder="1" applyAlignment="1">
      <alignment horizontal="left" wrapText="1" indent="3"/>
    </xf>
    <xf numFmtId="3" fontId="9" fillId="0" borderId="37" xfId="0" applyNumberFormat="1" applyFont="1" applyBorder="1" applyAlignment="1">
      <alignment horizontal="right"/>
    </xf>
    <xf numFmtId="0" fontId="9" fillId="0" borderId="4" xfId="0" applyFont="1" applyBorder="1" applyAlignment="1">
      <alignment horizontal="left" indent="1"/>
    </xf>
    <xf numFmtId="0" fontId="8" fillId="0" borderId="16" xfId="0" applyFont="1" applyBorder="1" applyAlignment="1">
      <alignment horizontal="center"/>
    </xf>
    <xf numFmtId="0" fontId="8" fillId="0" borderId="16" xfId="0" applyFont="1" applyBorder="1" applyAlignment="1">
      <alignment horizontal="left"/>
    </xf>
    <xf numFmtId="3" fontId="8" fillId="0" borderId="33" xfId="0" applyNumberFormat="1" applyFont="1" applyBorder="1" applyAlignment="1">
      <alignment horizontal="right"/>
    </xf>
    <xf numFmtId="3" fontId="8" fillId="0" borderId="18" xfId="0" applyNumberFormat="1" applyFont="1" applyBorder="1" applyAlignment="1">
      <alignment horizontal="right"/>
    </xf>
    <xf numFmtId="3" fontId="8" fillId="0" borderId="19" xfId="0" applyNumberFormat="1" applyFont="1" applyBorder="1" applyAlignment="1">
      <alignment horizontal="right"/>
    </xf>
    <xf numFmtId="0" fontId="9" fillId="0" borderId="33" xfId="0" applyFont="1" applyBorder="1"/>
    <xf numFmtId="0" fontId="9" fillId="0" borderId="18" xfId="0" applyFont="1" applyBorder="1"/>
    <xf numFmtId="0" fontId="9" fillId="0" borderId="19" xfId="0" applyFont="1" applyBorder="1"/>
    <xf numFmtId="0" fontId="9" fillId="0" borderId="48" xfId="0" applyFont="1" applyBorder="1"/>
    <xf numFmtId="0" fontId="9" fillId="0" borderId="28" xfId="0" applyFont="1" applyBorder="1"/>
    <xf numFmtId="0" fontId="8" fillId="0" borderId="36" xfId="0" applyFont="1" applyBorder="1" applyAlignment="1">
      <alignment horizontal="left"/>
    </xf>
    <xf numFmtId="3" fontId="8" fillId="0" borderId="32" xfId="0" applyNumberFormat="1" applyFont="1" applyBorder="1" applyAlignment="1">
      <alignment horizontal="right"/>
    </xf>
    <xf numFmtId="3" fontId="8" fillId="0" borderId="21" xfId="0" applyNumberFormat="1" applyFont="1" applyBorder="1" applyAlignment="1">
      <alignment horizontal="right"/>
    </xf>
    <xf numFmtId="3" fontId="8" fillId="0" borderId="8" xfId="0" applyNumberFormat="1" applyFont="1" applyBorder="1" applyAlignment="1">
      <alignment horizontal="right"/>
    </xf>
    <xf numFmtId="3" fontId="8" fillId="0" borderId="49" xfId="0" applyNumberFormat="1" applyFont="1" applyBorder="1" applyAlignment="1">
      <alignment horizontal="right"/>
    </xf>
    <xf numFmtId="3" fontId="8" fillId="0" borderId="40" xfId="0" applyNumberFormat="1" applyFont="1" applyBorder="1" applyAlignment="1">
      <alignment horizontal="right"/>
    </xf>
    <xf numFmtId="3" fontId="9" fillId="0" borderId="0" xfId="0" applyNumberFormat="1" applyFont="1" applyBorder="1"/>
    <xf numFmtId="3" fontId="9" fillId="0" borderId="10" xfId="0" applyNumberFormat="1" applyFont="1" applyBorder="1"/>
    <xf numFmtId="0" fontId="9" fillId="0" borderId="4" xfId="0" applyFont="1" applyBorder="1" applyAlignment="1">
      <alignment horizontal="left" wrapText="1"/>
    </xf>
    <xf numFmtId="3" fontId="9" fillId="0" borderId="0" xfId="0" applyNumberFormat="1" applyFont="1"/>
    <xf numFmtId="0" fontId="9" fillId="0" borderId="4" xfId="0" applyFont="1" applyBorder="1" applyAlignment="1">
      <alignment horizontal="left" indent="2"/>
    </xf>
    <xf numFmtId="0" fontId="9" fillId="0" borderId="4" xfId="0" applyFont="1" applyBorder="1" applyAlignment="1">
      <alignment wrapText="1"/>
    </xf>
    <xf numFmtId="0" fontId="9" fillId="0" borderId="12" xfId="0" applyFont="1" applyBorder="1" applyAlignment="1">
      <alignment horizontal="center"/>
    </xf>
    <xf numFmtId="0" fontId="9" fillId="0" borderId="5" xfId="0" applyFont="1" applyBorder="1"/>
    <xf numFmtId="0" fontId="8" fillId="0" borderId="17" xfId="0" applyFont="1" applyBorder="1" applyAlignment="1">
      <alignment horizontal="center"/>
    </xf>
    <xf numFmtId="0" fontId="9" fillId="0" borderId="16" xfId="0" applyFont="1" applyBorder="1"/>
    <xf numFmtId="0" fontId="8" fillId="0" borderId="5" xfId="0" applyFont="1" applyBorder="1"/>
    <xf numFmtId="3" fontId="8" fillId="0" borderId="34" xfId="0" applyNumberFormat="1" applyFont="1" applyBorder="1" applyAlignment="1">
      <alignment horizontal="right"/>
    </xf>
    <xf numFmtId="3" fontId="8" fillId="0" borderId="43" xfId="0" applyNumberFormat="1" applyFont="1" applyBorder="1" applyAlignment="1">
      <alignment horizontal="right"/>
    </xf>
    <xf numFmtId="3" fontId="8" fillId="0" borderId="30" xfId="0" applyNumberFormat="1" applyFont="1" applyBorder="1" applyAlignment="1">
      <alignment horizontal="right"/>
    </xf>
    <xf numFmtId="0" fontId="8" fillId="0" borderId="4" xfId="0" applyFont="1" applyBorder="1"/>
    <xf numFmtId="3" fontId="8" fillId="0" borderId="27" xfId="0" applyNumberFormat="1" applyFont="1" applyBorder="1" applyAlignment="1">
      <alignment horizontal="right"/>
    </xf>
    <xf numFmtId="3" fontId="9" fillId="0" borderId="29" xfId="0" applyNumberFormat="1" applyFont="1" applyBorder="1"/>
    <xf numFmtId="0" fontId="9" fillId="0" borderId="43" xfId="0" applyFont="1" applyBorder="1"/>
    <xf numFmtId="0" fontId="9" fillId="0" borderId="13" xfId="0" applyFont="1" applyBorder="1"/>
    <xf numFmtId="0" fontId="9" fillId="0" borderId="14" xfId="0" applyFont="1" applyBorder="1"/>
    <xf numFmtId="0" fontId="9" fillId="0" borderId="30" xfId="0" applyFont="1" applyBorder="1"/>
    <xf numFmtId="0" fontId="9" fillId="0" borderId="49" xfId="0" applyFont="1" applyBorder="1"/>
    <xf numFmtId="0" fontId="9" fillId="0" borderId="21" xfId="0" applyFont="1" applyBorder="1"/>
    <xf numFmtId="0" fontId="9" fillId="0" borderId="8" xfId="0" applyFont="1" applyBorder="1"/>
    <xf numFmtId="0" fontId="8" fillId="0" borderId="22" xfId="0" applyFont="1" applyBorder="1" applyAlignment="1">
      <alignment horizontal="center"/>
    </xf>
    <xf numFmtId="0" fontId="8" fillId="0" borderId="3" xfId="0" applyFont="1" applyBorder="1"/>
    <xf numFmtId="3" fontId="8" fillId="0" borderId="31" xfId="0" applyNumberFormat="1" applyFont="1" applyBorder="1" applyAlignment="1">
      <alignment horizontal="right"/>
    </xf>
    <xf numFmtId="3" fontId="8" fillId="0" borderId="25" xfId="0" applyNumberFormat="1" applyFont="1" applyBorder="1" applyAlignment="1">
      <alignment horizontal="right"/>
    </xf>
    <xf numFmtId="3" fontId="8" fillId="0" borderId="37" xfId="0" applyNumberFormat="1" applyFont="1" applyBorder="1" applyAlignment="1">
      <alignment horizontal="right"/>
    </xf>
    <xf numFmtId="0" fontId="8" fillId="0" borderId="6" xfId="0" applyFont="1" applyBorder="1" applyAlignment="1">
      <alignment horizontal="center"/>
    </xf>
    <xf numFmtId="0" fontId="8" fillId="0" borderId="36" xfId="0" applyFont="1" applyBorder="1"/>
    <xf numFmtId="0" fontId="9" fillId="0" borderId="40" xfId="0" applyFont="1" applyBorder="1"/>
    <xf numFmtId="3" fontId="8" fillId="0" borderId="27" xfId="0" applyNumberFormat="1" applyFont="1" applyBorder="1"/>
    <xf numFmtId="3" fontId="8" fillId="0" borderId="11" xfId="0" applyNumberFormat="1" applyFont="1" applyBorder="1"/>
    <xf numFmtId="0" fontId="9" fillId="0" borderId="4" xfId="0" applyFont="1" applyBorder="1" applyAlignment="1">
      <alignment horizontal="left" wrapText="1" indent="5"/>
    </xf>
    <xf numFmtId="3" fontId="9" fillId="0" borderId="10" xfId="0" applyNumberFormat="1" applyFont="1" applyFill="1" applyBorder="1"/>
    <xf numFmtId="3" fontId="9" fillId="0" borderId="11" xfId="0" applyNumberFormat="1" applyFont="1" applyBorder="1"/>
    <xf numFmtId="3" fontId="9" fillId="0" borderId="27" xfId="0" applyNumberFormat="1" applyFont="1" applyFill="1" applyBorder="1"/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wrapText="1"/>
    </xf>
    <xf numFmtId="0" fontId="8" fillId="0" borderId="29" xfId="0" applyFont="1" applyBorder="1" applyAlignment="1">
      <alignment horizontal="center" wrapText="1"/>
    </xf>
    <xf numFmtId="0" fontId="8" fillId="0" borderId="30" xfId="0" applyFont="1" applyBorder="1" applyAlignment="1">
      <alignment horizontal="center" wrapText="1"/>
    </xf>
    <xf numFmtId="0" fontId="8" fillId="0" borderId="46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48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8" fillId="0" borderId="47" xfId="0" applyFont="1" applyBorder="1" applyAlignment="1">
      <alignment horizontal="center"/>
    </xf>
    <xf numFmtId="0" fontId="8" fillId="0" borderId="33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7"/>
  <sheetViews>
    <sheetView tabSelected="1" view="pageBreakPreview" zoomScale="70" zoomScaleNormal="75" zoomScaleSheetLayoutView="70" workbookViewId="0">
      <pane xSplit="2" ySplit="8" topLeftCell="C57" activePane="bottomRight" state="frozen"/>
      <selection pane="topRight" activeCell="C1" sqref="C1"/>
      <selection pane="bottomLeft" activeCell="A10" sqref="A10"/>
      <selection pane="bottomRight" activeCell="H28" sqref="H28"/>
    </sheetView>
  </sheetViews>
  <sheetFormatPr defaultRowHeight="14.25" x14ac:dyDescent="0.2"/>
  <cols>
    <col min="1" max="1" width="13.5703125" style="8" customWidth="1"/>
    <col min="2" max="2" width="84" style="8" customWidth="1"/>
    <col min="3" max="3" width="12.5703125" style="8" customWidth="1"/>
    <col min="4" max="4" width="14.28515625" style="8" customWidth="1"/>
    <col min="5" max="5" width="14.85546875" style="8" customWidth="1"/>
    <col min="6" max="6" width="12.5703125" style="8" customWidth="1"/>
    <col min="7" max="7" width="14.28515625" style="8" customWidth="1"/>
    <col min="8" max="8" width="16.42578125" style="8" customWidth="1"/>
    <col min="9" max="9" width="13.42578125" style="8" customWidth="1"/>
    <col min="10" max="11" width="15.7109375" style="8" customWidth="1"/>
    <col min="12" max="19" width="17.7109375" style="16" customWidth="1"/>
    <col min="20" max="16384" width="9.140625" style="8"/>
  </cols>
  <sheetData>
    <row r="1" spans="1:19" s="1" customFormat="1" ht="15" customHeight="1" x14ac:dyDescent="0.25">
      <c r="A1" s="159" t="s">
        <v>1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2"/>
      <c r="M1" s="2"/>
      <c r="N1" s="2"/>
      <c r="O1" s="2"/>
      <c r="P1" s="2"/>
      <c r="Q1" s="2"/>
      <c r="R1" s="2"/>
      <c r="S1" s="2"/>
    </row>
    <row r="2" spans="1:19" s="1" customFormat="1" ht="15.75" x14ac:dyDescent="0.25">
      <c r="A2" s="159" t="s">
        <v>29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2"/>
      <c r="M2" s="2"/>
      <c r="N2" s="2"/>
      <c r="O2" s="2"/>
      <c r="P2" s="2"/>
      <c r="Q2" s="2"/>
      <c r="R2" s="2"/>
      <c r="S2" s="2"/>
    </row>
    <row r="3" spans="1:19" s="1" customFormat="1" ht="16.5" thickBot="1" x14ac:dyDescent="0.3">
      <c r="A3" s="18"/>
      <c r="B3" s="18"/>
      <c r="C3" s="18"/>
      <c r="D3" s="18"/>
      <c r="E3" s="18"/>
      <c r="F3" s="18"/>
      <c r="G3" s="18"/>
      <c r="H3" s="18"/>
      <c r="I3" s="18"/>
      <c r="J3" s="18"/>
      <c r="K3" s="19" t="s">
        <v>74</v>
      </c>
      <c r="L3" s="2"/>
      <c r="M3" s="2"/>
      <c r="N3" s="2"/>
      <c r="O3" s="2"/>
      <c r="P3" s="2"/>
      <c r="Q3" s="2"/>
      <c r="R3" s="2"/>
      <c r="S3" s="3"/>
    </row>
    <row r="4" spans="1:19" s="1" customFormat="1" ht="15" customHeight="1" x14ac:dyDescent="0.25">
      <c r="A4" s="20"/>
      <c r="B4" s="20"/>
      <c r="C4" s="148" t="s">
        <v>79</v>
      </c>
      <c r="D4" s="148"/>
      <c r="E4" s="149"/>
      <c r="F4" s="147" t="s">
        <v>69</v>
      </c>
      <c r="G4" s="148"/>
      <c r="H4" s="149"/>
      <c r="I4" s="153" t="s">
        <v>68</v>
      </c>
      <c r="J4" s="154"/>
      <c r="K4" s="155"/>
      <c r="L4" s="138"/>
      <c r="M4" s="138"/>
      <c r="N4" s="138"/>
      <c r="O4" s="138"/>
      <c r="P4" s="138"/>
      <c r="Q4" s="138"/>
      <c r="R4" s="139"/>
      <c r="S4" s="139"/>
    </row>
    <row r="5" spans="1:19" s="1" customFormat="1" ht="24.75" customHeight="1" x14ac:dyDescent="0.25">
      <c r="A5" s="21"/>
      <c r="B5" s="21"/>
      <c r="C5" s="156" t="s">
        <v>15</v>
      </c>
      <c r="D5" s="141" t="s">
        <v>16</v>
      </c>
      <c r="E5" s="144" t="s">
        <v>14</v>
      </c>
      <c r="F5" s="141" t="s">
        <v>70</v>
      </c>
      <c r="G5" s="141" t="s">
        <v>71</v>
      </c>
      <c r="H5" s="144" t="s">
        <v>72</v>
      </c>
      <c r="I5" s="150" t="s">
        <v>70</v>
      </c>
      <c r="J5" s="141" t="s">
        <v>71</v>
      </c>
      <c r="K5" s="144" t="s">
        <v>73</v>
      </c>
      <c r="L5" s="138"/>
      <c r="M5" s="138"/>
      <c r="N5" s="138"/>
      <c r="O5" s="138"/>
      <c r="P5" s="138"/>
      <c r="Q5" s="138"/>
      <c r="R5" s="140"/>
      <c r="S5" s="140"/>
    </row>
    <row r="6" spans="1:19" s="1" customFormat="1" ht="15.75" customHeight="1" x14ac:dyDescent="0.25">
      <c r="A6" s="22" t="s">
        <v>22</v>
      </c>
      <c r="B6" s="23" t="s">
        <v>2</v>
      </c>
      <c r="C6" s="157"/>
      <c r="D6" s="142"/>
      <c r="E6" s="145"/>
      <c r="F6" s="142"/>
      <c r="G6" s="142"/>
      <c r="H6" s="145"/>
      <c r="I6" s="151"/>
      <c r="J6" s="142"/>
      <c r="K6" s="145"/>
      <c r="L6" s="138"/>
      <c r="M6" s="138"/>
      <c r="N6" s="138"/>
      <c r="O6" s="138"/>
      <c r="P6" s="138"/>
      <c r="Q6" s="138"/>
      <c r="R6" s="140"/>
      <c r="S6" s="140"/>
    </row>
    <row r="7" spans="1:19" s="1" customFormat="1" ht="26.25" customHeight="1" x14ac:dyDescent="0.25">
      <c r="A7" s="24" t="s">
        <v>0</v>
      </c>
      <c r="B7" s="25"/>
      <c r="C7" s="158"/>
      <c r="D7" s="143"/>
      <c r="E7" s="146"/>
      <c r="F7" s="143"/>
      <c r="G7" s="143"/>
      <c r="H7" s="146"/>
      <c r="I7" s="152"/>
      <c r="J7" s="143"/>
      <c r="K7" s="146"/>
      <c r="L7" s="138"/>
      <c r="M7" s="138"/>
      <c r="N7" s="138"/>
      <c r="O7" s="138"/>
      <c r="P7" s="138"/>
      <c r="Q7" s="138"/>
      <c r="R7" s="140"/>
      <c r="S7" s="140"/>
    </row>
    <row r="8" spans="1:19" s="1" customFormat="1" ht="16.5" thickBot="1" x14ac:dyDescent="0.3">
      <c r="A8" s="26">
        <v>1</v>
      </c>
      <c r="B8" s="27">
        <v>2</v>
      </c>
      <c r="C8" s="28">
        <v>3</v>
      </c>
      <c r="D8" s="29">
        <v>4</v>
      </c>
      <c r="E8" s="30">
        <v>5</v>
      </c>
      <c r="F8" s="31">
        <v>6</v>
      </c>
      <c r="G8" s="29">
        <v>7</v>
      </c>
      <c r="H8" s="30">
        <v>8</v>
      </c>
      <c r="I8" s="31">
        <v>9</v>
      </c>
      <c r="J8" s="29">
        <v>10</v>
      </c>
      <c r="K8" s="30">
        <v>11</v>
      </c>
      <c r="L8" s="17"/>
      <c r="M8" s="17"/>
      <c r="N8" s="17"/>
      <c r="O8" s="17"/>
      <c r="P8" s="17"/>
      <c r="Q8" s="17"/>
      <c r="R8" s="17"/>
      <c r="S8" s="17"/>
    </row>
    <row r="9" spans="1:19" s="1" customFormat="1" ht="18" customHeight="1" x14ac:dyDescent="0.25">
      <c r="A9" s="32"/>
      <c r="B9" s="33"/>
      <c r="C9" s="18"/>
      <c r="D9" s="34"/>
      <c r="E9" s="35"/>
      <c r="F9" s="36"/>
      <c r="G9" s="37"/>
      <c r="H9" s="38"/>
      <c r="I9" s="39"/>
      <c r="J9" s="37"/>
      <c r="K9" s="40"/>
      <c r="L9" s="2"/>
      <c r="M9" s="2"/>
      <c r="N9" s="2"/>
      <c r="O9" s="2"/>
      <c r="P9" s="2"/>
      <c r="Q9" s="2"/>
      <c r="R9" s="2"/>
      <c r="S9" s="2"/>
    </row>
    <row r="10" spans="1:19" s="1" customFormat="1" ht="15.75" x14ac:dyDescent="0.25">
      <c r="A10" s="41">
        <v>7100</v>
      </c>
      <c r="B10" s="33" t="s">
        <v>3</v>
      </c>
      <c r="C10" s="18"/>
      <c r="D10" s="34"/>
      <c r="E10" s="35"/>
      <c r="F10" s="42"/>
      <c r="G10" s="43"/>
      <c r="H10" s="38"/>
      <c r="I10" s="44"/>
      <c r="J10" s="43"/>
      <c r="K10" s="45"/>
      <c r="L10" s="2"/>
      <c r="M10" s="2"/>
      <c r="N10" s="2"/>
      <c r="O10" s="2"/>
      <c r="P10" s="2"/>
      <c r="Q10" s="2"/>
      <c r="R10" s="2"/>
      <c r="S10" s="2"/>
    </row>
    <row r="11" spans="1:19" s="1" customFormat="1" ht="10.5" customHeight="1" x14ac:dyDescent="0.25">
      <c r="A11" s="32"/>
      <c r="B11" s="33"/>
      <c r="C11" s="18"/>
      <c r="D11" s="34"/>
      <c r="E11" s="35"/>
      <c r="F11" s="42"/>
      <c r="G11" s="43"/>
      <c r="H11" s="38"/>
      <c r="I11" s="44"/>
      <c r="J11" s="43"/>
      <c r="K11" s="45"/>
      <c r="L11" s="2"/>
      <c r="M11" s="2"/>
      <c r="N11" s="2"/>
      <c r="O11" s="2"/>
      <c r="P11" s="2"/>
      <c r="Q11" s="2"/>
      <c r="R11" s="2"/>
      <c r="S11" s="2"/>
    </row>
    <row r="12" spans="1:19" s="4" customFormat="1" ht="15.75" x14ac:dyDescent="0.25">
      <c r="A12" s="46" t="s">
        <v>5</v>
      </c>
      <c r="B12" s="47" t="s">
        <v>4</v>
      </c>
      <c r="C12" s="48">
        <v>10000</v>
      </c>
      <c r="D12" s="49"/>
      <c r="E12" s="50">
        <f>SUM(C12:D12)</f>
        <v>10000</v>
      </c>
      <c r="F12" s="51"/>
      <c r="G12" s="52"/>
      <c r="H12" s="53">
        <f>SUM(F12:G12)</f>
        <v>0</v>
      </c>
      <c r="I12" s="54">
        <f>SUM(C12,F12)</f>
        <v>10000</v>
      </c>
      <c r="J12" s="55">
        <f>SUM(D12,G12)</f>
        <v>0</v>
      </c>
      <c r="K12" s="56">
        <f>SUM(E12,H12)</f>
        <v>10000</v>
      </c>
      <c r="L12" s="9"/>
      <c r="M12" s="9"/>
      <c r="N12" s="9"/>
      <c r="O12" s="9"/>
      <c r="P12" s="9"/>
      <c r="Q12" s="9"/>
      <c r="R12" s="9"/>
      <c r="S12" s="9"/>
    </row>
    <row r="13" spans="1:19" s="9" customFormat="1" ht="15.75" x14ac:dyDescent="0.25">
      <c r="A13" s="41"/>
      <c r="B13" s="57"/>
      <c r="C13" s="58"/>
      <c r="D13" s="59"/>
      <c r="E13" s="60"/>
      <c r="F13" s="61"/>
      <c r="G13" s="62"/>
      <c r="H13" s="63"/>
      <c r="I13" s="64"/>
      <c r="J13" s="65"/>
      <c r="K13" s="66"/>
    </row>
    <row r="14" spans="1:19" s="9" customFormat="1" ht="15.75" x14ac:dyDescent="0.25">
      <c r="A14" s="41"/>
      <c r="B14" s="33" t="s">
        <v>21</v>
      </c>
      <c r="C14" s="58"/>
      <c r="D14" s="59"/>
      <c r="E14" s="60"/>
      <c r="F14" s="61"/>
      <c r="G14" s="62"/>
      <c r="H14" s="63"/>
      <c r="I14" s="67"/>
      <c r="J14" s="68"/>
      <c r="K14" s="66"/>
    </row>
    <row r="15" spans="1:19" s="5" customFormat="1" ht="11.25" customHeight="1" x14ac:dyDescent="0.25">
      <c r="A15" s="41"/>
      <c r="B15" s="33"/>
      <c r="C15" s="58"/>
      <c r="D15" s="59"/>
      <c r="E15" s="60"/>
      <c r="F15" s="61"/>
      <c r="G15" s="62"/>
      <c r="H15" s="63"/>
      <c r="I15" s="67"/>
      <c r="J15" s="68"/>
      <c r="K15" s="66"/>
      <c r="L15" s="9"/>
      <c r="M15" s="9"/>
      <c r="N15" s="9"/>
      <c r="O15" s="9"/>
      <c r="P15" s="9"/>
      <c r="Q15" s="9"/>
      <c r="R15" s="9"/>
      <c r="S15" s="9"/>
    </row>
    <row r="16" spans="1:19" s="1" customFormat="1" ht="18.75" customHeight="1" x14ac:dyDescent="0.25">
      <c r="A16" s="32">
        <v>7201</v>
      </c>
      <c r="B16" s="69" t="s">
        <v>9</v>
      </c>
      <c r="C16" s="58"/>
      <c r="D16" s="59"/>
      <c r="E16" s="60"/>
      <c r="F16" s="42"/>
      <c r="G16" s="43"/>
      <c r="H16" s="38"/>
      <c r="I16" s="67"/>
      <c r="J16" s="68"/>
      <c r="K16" s="45"/>
      <c r="L16" s="2"/>
      <c r="M16" s="2"/>
      <c r="N16" s="2"/>
      <c r="O16" s="2"/>
      <c r="P16" s="2"/>
      <c r="Q16" s="2"/>
      <c r="R16" s="2"/>
      <c r="S16" s="2"/>
    </row>
    <row r="17" spans="1:19" s="1" customFormat="1" ht="17.25" customHeight="1" x14ac:dyDescent="0.25">
      <c r="A17" s="32"/>
      <c r="B17" s="70" t="s">
        <v>46</v>
      </c>
      <c r="C17" s="71">
        <f>50000-2426-44306-2864+5285-5689</f>
        <v>0</v>
      </c>
      <c r="D17" s="71">
        <f>143400-37448-7626+93278-186290</f>
        <v>5314</v>
      </c>
      <c r="E17" s="60">
        <f t="shared" ref="E17:E53" si="0">SUM(C17:D17)</f>
        <v>5314</v>
      </c>
      <c r="F17" s="67">
        <f>5778+11282-80-1200-8700-1143-150</f>
        <v>5787</v>
      </c>
      <c r="G17" s="101">
        <f>-381-100-2115-2718</f>
        <v>-5314</v>
      </c>
      <c r="H17" s="132">
        <f>SUM(F17:G17)</f>
        <v>473</v>
      </c>
      <c r="I17" s="67">
        <f t="shared" ref="I17:I50" si="1">SUM(C17,F17)</f>
        <v>5787</v>
      </c>
      <c r="J17" s="68">
        <f t="shared" ref="J17:J43" si="2">SUM(D17,G17)</f>
        <v>0</v>
      </c>
      <c r="K17" s="72">
        <f>SUM(H17,E17)</f>
        <v>5787</v>
      </c>
      <c r="L17" s="2"/>
      <c r="M17" s="2"/>
      <c r="N17" s="2"/>
      <c r="O17" s="2"/>
      <c r="P17" s="2"/>
      <c r="Q17" s="2"/>
      <c r="R17" s="2"/>
      <c r="S17" s="2"/>
    </row>
    <row r="18" spans="1:19" s="2" customFormat="1" ht="15.75" x14ac:dyDescent="0.25">
      <c r="A18" s="32"/>
      <c r="B18" s="79" t="s">
        <v>47</v>
      </c>
      <c r="C18" s="71"/>
      <c r="D18" s="71">
        <f>45981-43038</f>
        <v>2943</v>
      </c>
      <c r="E18" s="60">
        <f t="shared" si="0"/>
        <v>2943</v>
      </c>
      <c r="F18" s="42"/>
      <c r="G18" s="101">
        <f>-127</f>
        <v>-127</v>
      </c>
      <c r="H18" s="132">
        <f>SUM(F18:G18)</f>
        <v>-127</v>
      </c>
      <c r="I18" s="67">
        <f t="shared" si="1"/>
        <v>0</v>
      </c>
      <c r="J18" s="68">
        <f t="shared" si="2"/>
        <v>2816</v>
      </c>
      <c r="K18" s="72">
        <f t="shared" ref="K18:K50" si="3">SUM(H18,E18)</f>
        <v>2816</v>
      </c>
    </row>
    <row r="19" spans="1:19" s="1" customFormat="1" ht="15" customHeight="1" x14ac:dyDescent="0.25">
      <c r="A19" s="32"/>
      <c r="B19" s="73" t="s">
        <v>48</v>
      </c>
      <c r="C19" s="71">
        <f>3000-117</f>
        <v>2883</v>
      </c>
      <c r="D19" s="71"/>
      <c r="E19" s="60">
        <f>SUM(C19:D19)</f>
        <v>2883</v>
      </c>
      <c r="F19" s="42">
        <f>-2282</f>
        <v>-2282</v>
      </c>
      <c r="G19" s="101"/>
      <c r="H19" s="132">
        <f t="shared" ref="H19:H50" si="4">SUM(F19:G19)</f>
        <v>-2282</v>
      </c>
      <c r="I19" s="67">
        <f t="shared" si="1"/>
        <v>601</v>
      </c>
      <c r="J19" s="68"/>
      <c r="K19" s="72">
        <f t="shared" si="3"/>
        <v>601</v>
      </c>
      <c r="L19" s="2"/>
      <c r="M19" s="2"/>
      <c r="N19" s="2"/>
      <c r="O19" s="2"/>
      <c r="P19" s="2"/>
      <c r="Q19" s="2"/>
      <c r="R19" s="2"/>
      <c r="S19" s="2"/>
    </row>
    <row r="20" spans="1:19" s="1" customFormat="1" ht="15" customHeight="1" x14ac:dyDescent="0.25">
      <c r="A20" s="32"/>
      <c r="B20" s="73" t="s">
        <v>49</v>
      </c>
      <c r="C20" s="71">
        <v>1100</v>
      </c>
      <c r="D20" s="71"/>
      <c r="E20" s="60">
        <f t="shared" si="0"/>
        <v>1100</v>
      </c>
      <c r="F20" s="42"/>
      <c r="G20" s="101"/>
      <c r="H20" s="132"/>
      <c r="I20" s="67">
        <f t="shared" si="1"/>
        <v>1100</v>
      </c>
      <c r="J20" s="68"/>
      <c r="K20" s="72">
        <f t="shared" si="3"/>
        <v>1100</v>
      </c>
      <c r="L20" s="2"/>
      <c r="M20" s="2"/>
      <c r="N20" s="2"/>
      <c r="O20" s="2"/>
      <c r="P20" s="2"/>
      <c r="Q20" s="2"/>
      <c r="R20" s="2"/>
      <c r="S20" s="2"/>
    </row>
    <row r="21" spans="1:19" s="1" customFormat="1" ht="15" customHeight="1" x14ac:dyDescent="0.25">
      <c r="A21" s="32"/>
      <c r="B21" s="73" t="s">
        <v>50</v>
      </c>
      <c r="C21" s="71">
        <f>12000-10033</f>
        <v>1967</v>
      </c>
      <c r="D21" s="71"/>
      <c r="E21" s="60">
        <f t="shared" si="0"/>
        <v>1967</v>
      </c>
      <c r="F21" s="71"/>
      <c r="G21" s="101"/>
      <c r="H21" s="132"/>
      <c r="I21" s="67">
        <f t="shared" si="1"/>
        <v>1967</v>
      </c>
      <c r="J21" s="68"/>
      <c r="K21" s="72">
        <f t="shared" si="3"/>
        <v>1967</v>
      </c>
      <c r="L21" s="2"/>
      <c r="M21" s="2"/>
      <c r="N21" s="2"/>
      <c r="O21" s="2"/>
      <c r="P21" s="2"/>
      <c r="Q21" s="2"/>
      <c r="R21" s="2"/>
      <c r="S21" s="2"/>
    </row>
    <row r="22" spans="1:19" s="1" customFormat="1" ht="15" customHeight="1" x14ac:dyDescent="0.25">
      <c r="A22" s="32"/>
      <c r="B22" s="73" t="s">
        <v>51</v>
      </c>
      <c r="C22" s="71">
        <f>2500-2500</f>
        <v>0</v>
      </c>
      <c r="D22" s="71"/>
      <c r="E22" s="60">
        <f t="shared" si="0"/>
        <v>0</v>
      </c>
      <c r="F22" s="42"/>
      <c r="G22" s="101"/>
      <c r="H22" s="132"/>
      <c r="I22" s="67">
        <f t="shared" si="1"/>
        <v>0</v>
      </c>
      <c r="J22" s="68"/>
      <c r="K22" s="72">
        <f t="shared" si="3"/>
        <v>0</v>
      </c>
      <c r="L22" s="2"/>
      <c r="M22" s="2"/>
      <c r="N22" s="2"/>
      <c r="O22" s="2"/>
      <c r="P22" s="2"/>
      <c r="Q22" s="2"/>
      <c r="R22" s="2"/>
      <c r="S22" s="2"/>
    </row>
    <row r="23" spans="1:19" s="1" customFormat="1" ht="15" customHeight="1" x14ac:dyDescent="0.25">
      <c r="A23" s="32"/>
      <c r="B23" s="73" t="s">
        <v>52</v>
      </c>
      <c r="C23" s="71">
        <v>2300</v>
      </c>
      <c r="D23" s="71"/>
      <c r="E23" s="60">
        <f t="shared" si="0"/>
        <v>2300</v>
      </c>
      <c r="F23" s="42"/>
      <c r="G23" s="101"/>
      <c r="H23" s="132"/>
      <c r="I23" s="67">
        <f t="shared" si="1"/>
        <v>2300</v>
      </c>
      <c r="J23" s="68"/>
      <c r="K23" s="72">
        <f t="shared" si="3"/>
        <v>2300</v>
      </c>
      <c r="L23" s="2"/>
      <c r="M23" s="2"/>
      <c r="N23" s="2"/>
      <c r="O23" s="2"/>
      <c r="P23" s="2"/>
      <c r="Q23" s="2"/>
      <c r="R23" s="2"/>
      <c r="S23" s="2"/>
    </row>
    <row r="24" spans="1:19" s="1" customFormat="1" ht="15" customHeight="1" x14ac:dyDescent="0.25">
      <c r="A24" s="32"/>
      <c r="B24" s="73" t="s">
        <v>53</v>
      </c>
      <c r="C24" s="71">
        <v>1000</v>
      </c>
      <c r="D24" s="71"/>
      <c r="E24" s="60">
        <f t="shared" si="0"/>
        <v>1000</v>
      </c>
      <c r="F24" s="42"/>
      <c r="G24" s="101"/>
      <c r="H24" s="132"/>
      <c r="I24" s="67">
        <f t="shared" si="1"/>
        <v>1000</v>
      </c>
      <c r="J24" s="68"/>
      <c r="K24" s="72">
        <f t="shared" si="3"/>
        <v>1000</v>
      </c>
      <c r="L24" s="2"/>
      <c r="M24" s="2"/>
      <c r="N24" s="2"/>
      <c r="O24" s="2"/>
      <c r="P24" s="2"/>
      <c r="Q24" s="2"/>
      <c r="R24" s="2"/>
      <c r="S24" s="2"/>
    </row>
    <row r="25" spans="1:19" s="12" customFormat="1" ht="15" customHeight="1" x14ac:dyDescent="0.25">
      <c r="A25" s="74"/>
      <c r="B25" s="75" t="s">
        <v>54</v>
      </c>
      <c r="C25" s="76">
        <v>3500</v>
      </c>
      <c r="D25" s="76"/>
      <c r="E25" s="77">
        <f t="shared" si="0"/>
        <v>3500</v>
      </c>
      <c r="F25" s="78"/>
      <c r="G25" s="135"/>
      <c r="H25" s="132"/>
      <c r="I25" s="67">
        <f t="shared" si="1"/>
        <v>3500</v>
      </c>
      <c r="J25" s="68"/>
      <c r="K25" s="72">
        <f t="shared" si="3"/>
        <v>3500</v>
      </c>
      <c r="L25" s="15"/>
      <c r="M25" s="15"/>
      <c r="N25" s="15"/>
      <c r="O25" s="15"/>
      <c r="P25" s="15"/>
      <c r="Q25" s="15"/>
      <c r="R25" s="15"/>
      <c r="S25" s="15"/>
    </row>
    <row r="26" spans="1:19" s="12" customFormat="1" ht="15" customHeight="1" x14ac:dyDescent="0.25">
      <c r="A26" s="74"/>
      <c r="B26" s="75" t="s">
        <v>55</v>
      </c>
      <c r="C26" s="76">
        <f>2500-2500</f>
        <v>0</v>
      </c>
      <c r="D26" s="76"/>
      <c r="E26" s="77">
        <f t="shared" si="0"/>
        <v>0</v>
      </c>
      <c r="F26" s="78"/>
      <c r="G26" s="135"/>
      <c r="H26" s="132"/>
      <c r="I26" s="67">
        <f t="shared" si="1"/>
        <v>0</v>
      </c>
      <c r="J26" s="68"/>
      <c r="K26" s="72">
        <f t="shared" si="3"/>
        <v>0</v>
      </c>
      <c r="L26" s="15"/>
      <c r="M26" s="15"/>
      <c r="N26" s="15"/>
      <c r="O26" s="15"/>
      <c r="P26" s="15"/>
      <c r="Q26" s="15"/>
      <c r="R26" s="15"/>
      <c r="S26" s="15"/>
    </row>
    <row r="27" spans="1:19" s="12" customFormat="1" ht="15" customHeight="1" x14ac:dyDescent="0.25">
      <c r="A27" s="74"/>
      <c r="B27" s="75" t="s">
        <v>56</v>
      </c>
      <c r="C27" s="76">
        <f>1000-154</f>
        <v>846</v>
      </c>
      <c r="D27" s="76"/>
      <c r="E27" s="77">
        <f t="shared" si="0"/>
        <v>846</v>
      </c>
      <c r="F27" s="78">
        <v>-308</v>
      </c>
      <c r="G27" s="135"/>
      <c r="H27" s="132">
        <f t="shared" si="4"/>
        <v>-308</v>
      </c>
      <c r="I27" s="67">
        <f t="shared" si="1"/>
        <v>538</v>
      </c>
      <c r="J27" s="68"/>
      <c r="K27" s="72">
        <f t="shared" si="3"/>
        <v>538</v>
      </c>
      <c r="L27" s="15"/>
      <c r="M27" s="15"/>
      <c r="N27" s="15"/>
      <c r="O27" s="15"/>
      <c r="P27" s="15"/>
      <c r="Q27" s="15"/>
      <c r="R27" s="15"/>
      <c r="S27" s="15"/>
    </row>
    <row r="28" spans="1:19" s="1" customFormat="1" ht="15" customHeight="1" x14ac:dyDescent="0.25">
      <c r="A28" s="32"/>
      <c r="B28" s="73" t="s">
        <v>57</v>
      </c>
      <c r="C28" s="71">
        <v>1000</v>
      </c>
      <c r="D28" s="71"/>
      <c r="E28" s="60">
        <f t="shared" si="0"/>
        <v>1000</v>
      </c>
      <c r="F28" s="42"/>
      <c r="G28" s="101"/>
      <c r="H28" s="132"/>
      <c r="I28" s="67">
        <f t="shared" si="1"/>
        <v>1000</v>
      </c>
      <c r="J28" s="68"/>
      <c r="K28" s="72">
        <f t="shared" si="3"/>
        <v>1000</v>
      </c>
      <c r="L28" s="2"/>
      <c r="M28" s="2"/>
      <c r="N28" s="2"/>
      <c r="O28" s="2"/>
      <c r="P28" s="2"/>
      <c r="Q28" s="2"/>
      <c r="R28" s="2"/>
      <c r="S28" s="2"/>
    </row>
    <row r="29" spans="1:19" s="1" customFormat="1" ht="15" customHeight="1" x14ac:dyDescent="0.25">
      <c r="A29" s="32"/>
      <c r="B29" s="73" t="s">
        <v>58</v>
      </c>
      <c r="C29" s="71">
        <f>38388-1621-2459-9000-25308</f>
        <v>0</v>
      </c>
      <c r="D29" s="71">
        <v>1612</v>
      </c>
      <c r="E29" s="60">
        <f t="shared" si="0"/>
        <v>1612</v>
      </c>
      <c r="F29" s="68"/>
      <c r="G29" s="101"/>
      <c r="H29" s="132">
        <f t="shared" si="4"/>
        <v>0</v>
      </c>
      <c r="I29" s="67">
        <f t="shared" si="1"/>
        <v>0</v>
      </c>
      <c r="J29" s="68">
        <f t="shared" si="2"/>
        <v>1612</v>
      </c>
      <c r="K29" s="72">
        <f t="shared" si="3"/>
        <v>1612</v>
      </c>
      <c r="L29" s="2"/>
      <c r="M29" s="2"/>
      <c r="N29" s="2"/>
      <c r="O29" s="2"/>
      <c r="P29" s="2"/>
      <c r="Q29" s="2"/>
      <c r="R29" s="2"/>
      <c r="S29" s="2"/>
    </row>
    <row r="30" spans="1:19" s="1" customFormat="1" ht="31.5" customHeight="1" x14ac:dyDescent="0.25">
      <c r="A30" s="32"/>
      <c r="B30" s="79" t="s">
        <v>59</v>
      </c>
      <c r="C30" s="71">
        <v>2500</v>
      </c>
      <c r="D30" s="71"/>
      <c r="E30" s="60">
        <f t="shared" si="0"/>
        <v>2500</v>
      </c>
      <c r="F30" s="42"/>
      <c r="G30" s="101"/>
      <c r="H30" s="132"/>
      <c r="I30" s="67">
        <f t="shared" si="1"/>
        <v>2500</v>
      </c>
      <c r="J30" s="68">
        <f t="shared" si="2"/>
        <v>0</v>
      </c>
      <c r="K30" s="72">
        <f t="shared" si="3"/>
        <v>2500</v>
      </c>
      <c r="L30" s="2"/>
      <c r="M30" s="2"/>
      <c r="N30" s="2"/>
      <c r="O30" s="2"/>
      <c r="P30" s="2"/>
      <c r="Q30" s="2"/>
      <c r="R30" s="2"/>
      <c r="S30" s="2"/>
    </row>
    <row r="31" spans="1:19" s="1" customFormat="1" ht="34.5" customHeight="1" x14ac:dyDescent="0.25">
      <c r="A31" s="32"/>
      <c r="B31" s="79" t="s">
        <v>60</v>
      </c>
      <c r="C31" s="71"/>
      <c r="D31" s="71">
        <v>3360</v>
      </c>
      <c r="E31" s="60">
        <f t="shared" si="0"/>
        <v>3360</v>
      </c>
      <c r="F31" s="42"/>
      <c r="G31" s="101"/>
      <c r="H31" s="132"/>
      <c r="I31" s="67">
        <f t="shared" si="1"/>
        <v>0</v>
      </c>
      <c r="J31" s="68">
        <f t="shared" si="2"/>
        <v>3360</v>
      </c>
      <c r="K31" s="72">
        <f t="shared" si="3"/>
        <v>3360</v>
      </c>
      <c r="L31" s="2"/>
      <c r="M31" s="2"/>
      <c r="N31" s="2"/>
      <c r="O31" s="2"/>
      <c r="P31" s="2"/>
      <c r="Q31" s="2"/>
      <c r="R31" s="2"/>
      <c r="S31" s="2"/>
    </row>
    <row r="32" spans="1:19" s="1" customFormat="1" ht="15.75" x14ac:dyDescent="0.25">
      <c r="A32" s="32"/>
      <c r="B32" s="79" t="s">
        <v>61</v>
      </c>
      <c r="C32" s="71"/>
      <c r="D32" s="71">
        <f>11882-11882</f>
        <v>0</v>
      </c>
      <c r="E32" s="60">
        <f t="shared" si="0"/>
        <v>0</v>
      </c>
      <c r="F32" s="42"/>
      <c r="G32" s="101">
        <f>11277-11277</f>
        <v>0</v>
      </c>
      <c r="H32" s="132">
        <f t="shared" si="4"/>
        <v>0</v>
      </c>
      <c r="I32" s="67">
        <f t="shared" si="1"/>
        <v>0</v>
      </c>
      <c r="J32" s="68">
        <f t="shared" si="2"/>
        <v>0</v>
      </c>
      <c r="K32" s="72">
        <f t="shared" si="3"/>
        <v>0</v>
      </c>
      <c r="L32" s="2"/>
      <c r="M32" s="2"/>
      <c r="N32" s="2"/>
      <c r="O32" s="2"/>
      <c r="P32" s="2"/>
      <c r="Q32" s="2"/>
      <c r="R32" s="2"/>
      <c r="S32" s="2"/>
    </row>
    <row r="33" spans="1:19" s="1" customFormat="1" ht="15.75" x14ac:dyDescent="0.25">
      <c r="A33" s="32"/>
      <c r="B33" s="79" t="s">
        <v>62</v>
      </c>
      <c r="C33" s="71"/>
      <c r="D33" s="71">
        <f>5080-5080</f>
        <v>0</v>
      </c>
      <c r="E33" s="60">
        <f t="shared" si="0"/>
        <v>0</v>
      </c>
      <c r="F33" s="42"/>
      <c r="G33" s="101"/>
      <c r="H33" s="132"/>
      <c r="I33" s="67">
        <f t="shared" si="1"/>
        <v>0</v>
      </c>
      <c r="J33" s="68">
        <f t="shared" si="2"/>
        <v>0</v>
      </c>
      <c r="K33" s="72">
        <f t="shared" si="3"/>
        <v>0</v>
      </c>
      <c r="L33" s="2"/>
      <c r="M33" s="2"/>
      <c r="N33" s="2"/>
      <c r="O33" s="2"/>
      <c r="P33" s="2"/>
      <c r="Q33" s="2"/>
      <c r="R33" s="2"/>
      <c r="S33" s="2"/>
    </row>
    <row r="34" spans="1:19" s="1" customFormat="1" ht="31.5" x14ac:dyDescent="0.25">
      <c r="A34" s="32"/>
      <c r="B34" s="79" t="s">
        <v>63</v>
      </c>
      <c r="C34" s="34"/>
      <c r="D34" s="71">
        <v>13500</v>
      </c>
      <c r="E34" s="80">
        <f t="shared" si="0"/>
        <v>13500</v>
      </c>
      <c r="F34" s="71"/>
      <c r="G34" s="34">
        <f>-9398</f>
        <v>-9398</v>
      </c>
      <c r="H34" s="132">
        <f t="shared" si="4"/>
        <v>-9398</v>
      </c>
      <c r="I34" s="67">
        <f t="shared" si="1"/>
        <v>0</v>
      </c>
      <c r="J34" s="68">
        <f t="shared" si="2"/>
        <v>4102</v>
      </c>
      <c r="K34" s="72">
        <f t="shared" si="3"/>
        <v>4102</v>
      </c>
      <c r="L34" s="2"/>
      <c r="M34" s="2"/>
      <c r="N34" s="2"/>
      <c r="O34" s="2"/>
      <c r="P34" s="2"/>
      <c r="Q34" s="2"/>
      <c r="R34" s="2"/>
      <c r="S34" s="2"/>
    </row>
    <row r="35" spans="1:19" s="1" customFormat="1" ht="15" customHeight="1" x14ac:dyDescent="0.25">
      <c r="A35" s="32"/>
      <c r="B35" s="73" t="s">
        <v>64</v>
      </c>
      <c r="C35" s="71">
        <f>65000-9661</f>
        <v>55339</v>
      </c>
      <c r="D35" s="71"/>
      <c r="E35" s="60">
        <f t="shared" si="0"/>
        <v>55339</v>
      </c>
      <c r="F35" s="71">
        <f>-889</f>
        <v>-889</v>
      </c>
      <c r="G35" s="101"/>
      <c r="H35" s="132">
        <f t="shared" si="4"/>
        <v>-889</v>
      </c>
      <c r="I35" s="67">
        <f t="shared" si="1"/>
        <v>54450</v>
      </c>
      <c r="J35" s="68">
        <f t="shared" si="2"/>
        <v>0</v>
      </c>
      <c r="K35" s="72">
        <f t="shared" si="3"/>
        <v>54450</v>
      </c>
      <c r="L35" s="2"/>
      <c r="M35" s="2"/>
      <c r="N35" s="2"/>
      <c r="O35" s="2"/>
      <c r="P35" s="2"/>
      <c r="Q35" s="2"/>
      <c r="R35" s="2"/>
      <c r="S35" s="2"/>
    </row>
    <row r="36" spans="1:19" s="1" customFormat="1" ht="15" customHeight="1" x14ac:dyDescent="0.25">
      <c r="A36" s="32"/>
      <c r="B36" s="81" t="s">
        <v>65</v>
      </c>
      <c r="C36" s="82"/>
      <c r="D36" s="71"/>
      <c r="E36" s="60"/>
      <c r="F36" s="68"/>
      <c r="G36" s="101"/>
      <c r="H36" s="132"/>
      <c r="I36" s="67">
        <f t="shared" si="1"/>
        <v>0</v>
      </c>
      <c r="J36" s="68">
        <f t="shared" si="2"/>
        <v>0</v>
      </c>
      <c r="K36" s="72">
        <f t="shared" si="3"/>
        <v>0</v>
      </c>
      <c r="L36" s="2"/>
      <c r="M36" s="2"/>
      <c r="N36" s="2"/>
      <c r="O36" s="2"/>
      <c r="P36" s="2"/>
      <c r="Q36" s="2"/>
      <c r="R36" s="2"/>
      <c r="S36" s="2"/>
    </row>
    <row r="37" spans="1:19" s="1" customFormat="1" ht="36.75" customHeight="1" x14ac:dyDescent="0.25">
      <c r="A37" s="32"/>
      <c r="B37" s="81" t="s">
        <v>66</v>
      </c>
      <c r="C37" s="82"/>
      <c r="D37" s="71">
        <f>1779-1447</f>
        <v>332</v>
      </c>
      <c r="E37" s="60">
        <f t="shared" si="0"/>
        <v>332</v>
      </c>
      <c r="F37" s="68"/>
      <c r="G37" s="101"/>
      <c r="H37" s="132">
        <f t="shared" si="4"/>
        <v>0</v>
      </c>
      <c r="I37" s="67">
        <f t="shared" si="1"/>
        <v>0</v>
      </c>
      <c r="J37" s="68">
        <f t="shared" si="2"/>
        <v>332</v>
      </c>
      <c r="K37" s="72">
        <f t="shared" si="3"/>
        <v>332</v>
      </c>
      <c r="L37" s="2"/>
      <c r="M37" s="2"/>
      <c r="N37" s="2"/>
      <c r="O37" s="2"/>
      <c r="P37" s="2"/>
      <c r="Q37" s="2"/>
      <c r="R37" s="2"/>
      <c r="S37" s="2"/>
    </row>
    <row r="38" spans="1:19" s="1" customFormat="1" ht="40.5" customHeight="1" x14ac:dyDescent="0.25">
      <c r="A38" s="32"/>
      <c r="B38" s="79" t="s">
        <v>34</v>
      </c>
      <c r="C38" s="71">
        <f>14000-7423</f>
        <v>6577</v>
      </c>
      <c r="D38" s="71"/>
      <c r="E38" s="60">
        <f t="shared" si="0"/>
        <v>6577</v>
      </c>
      <c r="F38" s="68"/>
      <c r="G38" s="101"/>
      <c r="H38" s="132">
        <f t="shared" si="4"/>
        <v>0</v>
      </c>
      <c r="I38" s="67">
        <f t="shared" si="1"/>
        <v>6577</v>
      </c>
      <c r="J38" s="68"/>
      <c r="K38" s="72">
        <f t="shared" si="3"/>
        <v>6577</v>
      </c>
      <c r="L38" s="2"/>
      <c r="M38" s="2"/>
      <c r="N38" s="2"/>
      <c r="O38" s="2"/>
      <c r="P38" s="2"/>
      <c r="Q38" s="2"/>
      <c r="R38" s="2"/>
      <c r="S38" s="2"/>
    </row>
    <row r="39" spans="1:19" s="1" customFormat="1" ht="15" customHeight="1" x14ac:dyDescent="0.25">
      <c r="A39" s="32"/>
      <c r="B39" s="79" t="s">
        <v>35</v>
      </c>
      <c r="C39" s="71">
        <v>8340</v>
      </c>
      <c r="D39" s="71"/>
      <c r="E39" s="60">
        <f t="shared" si="0"/>
        <v>8340</v>
      </c>
      <c r="F39" s="68">
        <f>-8340</f>
        <v>-8340</v>
      </c>
      <c r="G39" s="101"/>
      <c r="H39" s="132">
        <f t="shared" si="4"/>
        <v>-8340</v>
      </c>
      <c r="I39" s="67">
        <f t="shared" si="1"/>
        <v>0</v>
      </c>
      <c r="J39" s="68"/>
      <c r="K39" s="72">
        <f t="shared" si="3"/>
        <v>0</v>
      </c>
      <c r="L39" s="2"/>
      <c r="M39" s="2"/>
      <c r="N39" s="2"/>
      <c r="O39" s="2"/>
      <c r="P39" s="2"/>
      <c r="Q39" s="2"/>
      <c r="R39" s="2"/>
      <c r="S39" s="2"/>
    </row>
    <row r="40" spans="1:19" s="1" customFormat="1" ht="15" customHeight="1" x14ac:dyDescent="0.25">
      <c r="A40" s="32"/>
      <c r="B40" s="79" t="s">
        <v>36</v>
      </c>
      <c r="C40" s="71">
        <v>2500</v>
      </c>
      <c r="D40" s="71"/>
      <c r="E40" s="60">
        <f t="shared" si="0"/>
        <v>2500</v>
      </c>
      <c r="F40" s="68">
        <f>-2482</f>
        <v>-2482</v>
      </c>
      <c r="G40" s="101"/>
      <c r="H40" s="132">
        <f t="shared" si="4"/>
        <v>-2482</v>
      </c>
      <c r="I40" s="67">
        <f t="shared" si="1"/>
        <v>18</v>
      </c>
      <c r="J40" s="68"/>
      <c r="K40" s="72">
        <f t="shared" si="3"/>
        <v>18</v>
      </c>
      <c r="L40" s="2"/>
      <c r="M40" s="2"/>
      <c r="N40" s="2"/>
      <c r="O40" s="2"/>
      <c r="P40" s="2"/>
      <c r="Q40" s="2"/>
      <c r="R40" s="2"/>
      <c r="S40" s="2"/>
    </row>
    <row r="41" spans="1:19" s="1" customFormat="1" ht="15" customHeight="1" x14ac:dyDescent="0.25">
      <c r="A41" s="32"/>
      <c r="B41" s="79" t="s">
        <v>38</v>
      </c>
      <c r="C41" s="71"/>
      <c r="D41" s="71"/>
      <c r="E41" s="60"/>
      <c r="F41" s="68"/>
      <c r="G41" s="101"/>
      <c r="H41" s="132"/>
      <c r="I41" s="67"/>
      <c r="J41" s="68"/>
      <c r="K41" s="72">
        <f t="shared" si="3"/>
        <v>0</v>
      </c>
      <c r="L41" s="2"/>
      <c r="M41" s="2"/>
      <c r="N41" s="2"/>
      <c r="O41" s="2"/>
      <c r="P41" s="2"/>
      <c r="Q41" s="2"/>
      <c r="R41" s="2"/>
      <c r="S41" s="2"/>
    </row>
    <row r="42" spans="1:19" s="1" customFormat="1" ht="15" customHeight="1" x14ac:dyDescent="0.25">
      <c r="A42" s="32"/>
      <c r="B42" s="79" t="s">
        <v>39</v>
      </c>
      <c r="C42" s="71"/>
      <c r="D42" s="71"/>
      <c r="E42" s="60"/>
      <c r="F42" s="68"/>
      <c r="G42" s="101"/>
      <c r="H42" s="132"/>
      <c r="I42" s="67"/>
      <c r="J42" s="68"/>
      <c r="K42" s="72">
        <f t="shared" si="3"/>
        <v>0</v>
      </c>
      <c r="L42" s="2"/>
      <c r="M42" s="2"/>
      <c r="N42" s="2"/>
      <c r="O42" s="2"/>
      <c r="P42" s="2"/>
      <c r="Q42" s="2"/>
      <c r="R42" s="2"/>
      <c r="S42" s="2"/>
    </row>
    <row r="43" spans="1:19" s="1" customFormat="1" ht="15" customHeight="1" x14ac:dyDescent="0.25">
      <c r="A43" s="32"/>
      <c r="B43" s="79" t="s">
        <v>40</v>
      </c>
      <c r="C43" s="71"/>
      <c r="D43" s="71">
        <f>12000-900-4125</f>
        <v>6975</v>
      </c>
      <c r="E43" s="60">
        <f t="shared" si="0"/>
        <v>6975</v>
      </c>
      <c r="F43" s="68"/>
      <c r="G43" s="101"/>
      <c r="H43" s="132"/>
      <c r="I43" s="67"/>
      <c r="J43" s="68">
        <f t="shared" si="2"/>
        <v>6975</v>
      </c>
      <c r="K43" s="72">
        <f t="shared" si="3"/>
        <v>6975</v>
      </c>
      <c r="L43" s="2"/>
      <c r="M43" s="2"/>
      <c r="N43" s="2"/>
      <c r="O43" s="2"/>
      <c r="P43" s="2"/>
      <c r="Q43" s="2"/>
      <c r="R43" s="2"/>
      <c r="S43" s="2"/>
    </row>
    <row r="44" spans="1:19" s="1" customFormat="1" ht="15" customHeight="1" x14ac:dyDescent="0.25">
      <c r="A44" s="32"/>
      <c r="B44" s="79" t="s">
        <v>78</v>
      </c>
      <c r="C44" s="71">
        <v>5080</v>
      </c>
      <c r="D44" s="71"/>
      <c r="E44" s="60">
        <f t="shared" si="0"/>
        <v>5080</v>
      </c>
      <c r="F44" s="68"/>
      <c r="G44" s="101"/>
      <c r="H44" s="132"/>
      <c r="I44" s="67">
        <f t="shared" si="1"/>
        <v>5080</v>
      </c>
      <c r="J44" s="68"/>
      <c r="K44" s="72">
        <f t="shared" si="3"/>
        <v>5080</v>
      </c>
      <c r="L44" s="2"/>
      <c r="M44" s="2"/>
      <c r="N44" s="2"/>
      <c r="O44" s="2"/>
      <c r="P44" s="2"/>
      <c r="Q44" s="2"/>
      <c r="R44" s="2"/>
      <c r="S44" s="2"/>
    </row>
    <row r="45" spans="1:19" s="1" customFormat="1" ht="15" customHeight="1" x14ac:dyDescent="0.25">
      <c r="A45" s="32"/>
      <c r="B45" s="73" t="s">
        <v>83</v>
      </c>
      <c r="C45" s="71">
        <f>10568-2186</f>
        <v>8382</v>
      </c>
      <c r="D45" s="71"/>
      <c r="E45" s="60">
        <f t="shared" si="0"/>
        <v>8382</v>
      </c>
      <c r="F45" s="68">
        <f>-270-6500-1473</f>
        <v>-8243</v>
      </c>
      <c r="G45" s="101"/>
      <c r="H45" s="132">
        <f t="shared" si="4"/>
        <v>-8243</v>
      </c>
      <c r="I45" s="67">
        <f t="shared" si="1"/>
        <v>139</v>
      </c>
      <c r="J45" s="68"/>
      <c r="K45" s="72">
        <f t="shared" si="3"/>
        <v>139</v>
      </c>
      <c r="L45" s="2"/>
      <c r="M45" s="2"/>
      <c r="N45" s="2"/>
      <c r="O45" s="2"/>
      <c r="P45" s="2"/>
      <c r="Q45" s="2"/>
      <c r="R45" s="2"/>
      <c r="S45" s="2"/>
    </row>
    <row r="46" spans="1:19" s="1" customFormat="1" ht="36" customHeight="1" x14ac:dyDescent="0.25">
      <c r="A46" s="32"/>
      <c r="B46" s="134" t="s">
        <v>84</v>
      </c>
      <c r="C46" s="71"/>
      <c r="D46" s="71"/>
      <c r="E46" s="60"/>
      <c r="F46" s="68"/>
      <c r="G46" s="101"/>
      <c r="H46" s="132"/>
      <c r="I46" s="67">
        <f t="shared" si="1"/>
        <v>0</v>
      </c>
      <c r="J46" s="68"/>
      <c r="K46" s="72">
        <f t="shared" si="3"/>
        <v>0</v>
      </c>
      <c r="L46" s="2"/>
      <c r="M46" s="2"/>
      <c r="N46" s="2"/>
      <c r="O46" s="2"/>
      <c r="P46" s="2"/>
      <c r="Q46" s="2"/>
      <c r="R46" s="2"/>
      <c r="S46" s="2"/>
    </row>
    <row r="47" spans="1:19" s="1" customFormat="1" ht="15" customHeight="1" x14ac:dyDescent="0.25">
      <c r="A47" s="32"/>
      <c r="B47" s="73" t="s">
        <v>85</v>
      </c>
      <c r="C47" s="71">
        <f>5130-445-83</f>
        <v>4602</v>
      </c>
      <c r="D47" s="71"/>
      <c r="E47" s="60">
        <f t="shared" si="0"/>
        <v>4602</v>
      </c>
      <c r="F47" s="68">
        <v>-637</v>
      </c>
      <c r="G47" s="101"/>
      <c r="H47" s="132">
        <f t="shared" si="4"/>
        <v>-637</v>
      </c>
      <c r="I47" s="67">
        <f t="shared" si="1"/>
        <v>3965</v>
      </c>
      <c r="J47" s="68"/>
      <c r="K47" s="72">
        <f t="shared" si="3"/>
        <v>3965</v>
      </c>
      <c r="L47" s="2"/>
      <c r="M47" s="2"/>
      <c r="N47" s="2"/>
      <c r="O47" s="2"/>
      <c r="P47" s="2"/>
      <c r="Q47" s="2"/>
      <c r="R47" s="2"/>
      <c r="S47" s="2"/>
    </row>
    <row r="48" spans="1:19" s="1" customFormat="1" ht="31.5" x14ac:dyDescent="0.25">
      <c r="A48" s="32"/>
      <c r="B48" s="134" t="s">
        <v>86</v>
      </c>
      <c r="C48" s="71"/>
      <c r="D48" s="71"/>
      <c r="E48" s="60"/>
      <c r="F48" s="68"/>
      <c r="G48" s="101"/>
      <c r="H48" s="132">
        <f t="shared" si="4"/>
        <v>0</v>
      </c>
      <c r="I48" s="67">
        <f t="shared" si="1"/>
        <v>0</v>
      </c>
      <c r="J48" s="68"/>
      <c r="K48" s="72">
        <f t="shared" si="3"/>
        <v>0</v>
      </c>
      <c r="L48" s="2"/>
      <c r="M48" s="2"/>
      <c r="N48" s="2"/>
      <c r="O48" s="2"/>
      <c r="P48" s="2"/>
      <c r="Q48" s="2"/>
      <c r="R48" s="2"/>
      <c r="S48" s="2"/>
    </row>
    <row r="49" spans="1:19" s="1" customFormat="1" ht="15.75" x14ac:dyDescent="0.25">
      <c r="A49" s="32"/>
      <c r="B49" s="79" t="s">
        <v>88</v>
      </c>
      <c r="C49" s="71">
        <v>9000</v>
      </c>
      <c r="D49" s="71"/>
      <c r="E49" s="60">
        <f t="shared" si="0"/>
        <v>9000</v>
      </c>
      <c r="F49" s="68">
        <v>-4686</v>
      </c>
      <c r="G49" s="101"/>
      <c r="H49" s="132">
        <f t="shared" si="4"/>
        <v>-4686</v>
      </c>
      <c r="I49" s="67">
        <f t="shared" si="1"/>
        <v>4314</v>
      </c>
      <c r="J49" s="68"/>
      <c r="K49" s="72">
        <f t="shared" si="3"/>
        <v>4314</v>
      </c>
      <c r="L49" s="2"/>
      <c r="M49" s="2"/>
      <c r="N49" s="2"/>
      <c r="O49" s="2"/>
      <c r="P49" s="2"/>
      <c r="Q49" s="2"/>
      <c r="R49" s="2"/>
      <c r="S49" s="2"/>
    </row>
    <row r="50" spans="1:19" s="1" customFormat="1" ht="15.75" x14ac:dyDescent="0.25">
      <c r="A50" s="32"/>
      <c r="B50" s="79" t="s">
        <v>89</v>
      </c>
      <c r="C50" s="71">
        <f>19804</f>
        <v>19804</v>
      </c>
      <c r="D50" s="71"/>
      <c r="E50" s="60">
        <f t="shared" si="0"/>
        <v>19804</v>
      </c>
      <c r="F50" s="68">
        <f>-30742+25741-6013-3512</f>
        <v>-14526</v>
      </c>
      <c r="G50" s="101"/>
      <c r="H50" s="132">
        <f t="shared" si="4"/>
        <v>-14526</v>
      </c>
      <c r="I50" s="67">
        <f t="shared" si="1"/>
        <v>5278</v>
      </c>
      <c r="J50" s="68"/>
      <c r="K50" s="72">
        <f t="shared" si="3"/>
        <v>5278</v>
      </c>
      <c r="L50" s="2"/>
      <c r="M50" s="2"/>
      <c r="N50" s="2"/>
      <c r="O50" s="2"/>
      <c r="P50" s="2"/>
      <c r="Q50" s="2"/>
      <c r="R50" s="2"/>
      <c r="S50" s="2"/>
    </row>
    <row r="51" spans="1:19" s="1" customFormat="1" ht="15" customHeight="1" x14ac:dyDescent="0.25">
      <c r="A51" s="32"/>
      <c r="B51" s="83"/>
      <c r="C51" s="71"/>
      <c r="D51" s="71"/>
      <c r="E51" s="60"/>
      <c r="F51" s="68"/>
      <c r="G51" s="101"/>
      <c r="H51" s="133"/>
      <c r="I51" s="67"/>
      <c r="J51" s="68"/>
      <c r="K51" s="72"/>
      <c r="L51" s="2"/>
      <c r="M51" s="2"/>
      <c r="N51" s="2"/>
      <c r="O51" s="2"/>
      <c r="P51" s="2"/>
      <c r="Q51" s="2"/>
      <c r="R51" s="2"/>
      <c r="S51" s="2"/>
    </row>
    <row r="52" spans="1:19" s="1" customFormat="1" ht="15.75" x14ac:dyDescent="0.25">
      <c r="A52" s="32">
        <v>7203</v>
      </c>
      <c r="B52" s="69" t="s">
        <v>82</v>
      </c>
      <c r="C52" s="58"/>
      <c r="D52" s="59"/>
      <c r="E52" s="60"/>
      <c r="F52" s="42"/>
      <c r="G52" s="101"/>
      <c r="H52" s="63"/>
      <c r="I52" s="67"/>
      <c r="J52" s="68"/>
      <c r="K52" s="72"/>
      <c r="L52" s="2"/>
      <c r="M52" s="2"/>
      <c r="N52" s="2"/>
      <c r="O52" s="2"/>
      <c r="P52" s="2"/>
      <c r="Q52" s="2"/>
      <c r="R52" s="2"/>
      <c r="S52" s="2"/>
    </row>
    <row r="53" spans="1:19" s="1" customFormat="1" ht="15.75" x14ac:dyDescent="0.25">
      <c r="A53" s="32"/>
      <c r="B53" s="21" t="s">
        <v>87</v>
      </c>
      <c r="C53" s="58"/>
      <c r="D53" s="34">
        <f>40000-7773+17773-1715</f>
        <v>48285</v>
      </c>
      <c r="E53" s="60">
        <f t="shared" si="0"/>
        <v>48285</v>
      </c>
      <c r="F53" s="42"/>
      <c r="G53" s="101">
        <f>-1715-1500-39370</f>
        <v>-42585</v>
      </c>
      <c r="H53" s="133">
        <f t="shared" ref="H53" si="5">SUM(F53:G53)</f>
        <v>-42585</v>
      </c>
      <c r="I53" s="67"/>
      <c r="J53" s="68">
        <f>SUM(D53,G53)</f>
        <v>5700</v>
      </c>
      <c r="K53" s="72">
        <f t="shared" ref="K53" si="6">SUM(H53,E53)</f>
        <v>5700</v>
      </c>
      <c r="L53" s="2"/>
      <c r="M53" s="2"/>
      <c r="N53" s="2"/>
      <c r="O53" s="2"/>
      <c r="P53" s="2"/>
      <c r="Q53" s="2"/>
      <c r="R53" s="2"/>
      <c r="S53" s="2"/>
    </row>
    <row r="54" spans="1:19" s="1" customFormat="1" ht="17.25" customHeight="1" x14ac:dyDescent="0.25">
      <c r="A54" s="32"/>
      <c r="B54" s="69"/>
      <c r="C54" s="18"/>
      <c r="D54" s="59"/>
      <c r="E54" s="60"/>
      <c r="F54" s="42"/>
      <c r="G54" s="101"/>
      <c r="H54" s="63"/>
      <c r="I54" s="44"/>
      <c r="J54" s="42"/>
      <c r="K54" s="45"/>
      <c r="L54" s="2"/>
      <c r="M54" s="2"/>
      <c r="N54" s="2"/>
      <c r="O54" s="2"/>
      <c r="P54" s="2"/>
      <c r="Q54" s="2"/>
      <c r="R54" s="2"/>
      <c r="S54" s="2"/>
    </row>
    <row r="55" spans="1:19" s="6" customFormat="1" ht="15.75" x14ac:dyDescent="0.25">
      <c r="A55" s="84">
        <v>7200</v>
      </c>
      <c r="B55" s="85" t="s">
        <v>19</v>
      </c>
      <c r="C55" s="86"/>
      <c r="D55" s="87"/>
      <c r="E55" s="88"/>
      <c r="F55" s="89"/>
      <c r="G55" s="90"/>
      <c r="H55" s="91"/>
      <c r="I55" s="92"/>
      <c r="J55" s="89"/>
      <c r="K55" s="93"/>
      <c r="L55" s="2"/>
      <c r="M55" s="2"/>
      <c r="N55" s="2"/>
      <c r="O55" s="2"/>
      <c r="P55" s="2"/>
      <c r="Q55" s="2"/>
      <c r="R55" s="2"/>
      <c r="S55" s="2"/>
    </row>
    <row r="56" spans="1:19" s="7" customFormat="1" ht="16.5" thickBot="1" x14ac:dyDescent="0.3">
      <c r="A56" s="26"/>
      <c r="B56" s="94" t="s">
        <v>18</v>
      </c>
      <c r="C56" s="95">
        <f>SUM(C16:C54)</f>
        <v>136720</v>
      </c>
      <c r="D56" s="96">
        <f>SUM(D16:D54)</f>
        <v>82321</v>
      </c>
      <c r="E56" s="97">
        <f>SUM(E16:E54)</f>
        <v>219041</v>
      </c>
      <c r="F56" s="95">
        <f>SUM(F16:F54)</f>
        <v>-36606</v>
      </c>
      <c r="G56" s="96">
        <f>SUM(G16:G54)</f>
        <v>-57424</v>
      </c>
      <c r="H56" s="97">
        <f>SUM(H17:H54)</f>
        <v>-94030</v>
      </c>
      <c r="I56" s="98">
        <f>SUM(I16:I54)</f>
        <v>100114</v>
      </c>
      <c r="J56" s="96">
        <f>SUM(J16:J54)</f>
        <v>24897</v>
      </c>
      <c r="K56" s="99">
        <f>SUM(K16:K54)</f>
        <v>125011</v>
      </c>
      <c r="L56" s="14"/>
      <c r="M56" s="14"/>
      <c r="N56" s="14"/>
      <c r="O56" s="14"/>
      <c r="P56" s="14"/>
      <c r="Q56" s="14"/>
      <c r="R56" s="2"/>
      <c r="S56" s="2"/>
    </row>
    <row r="57" spans="1:19" s="2" customFormat="1" ht="11.25" customHeight="1" x14ac:dyDescent="0.25">
      <c r="A57" s="32"/>
      <c r="B57" s="21"/>
      <c r="C57" s="11"/>
      <c r="D57" s="59"/>
      <c r="E57" s="60"/>
      <c r="F57" s="42"/>
      <c r="G57" s="43"/>
      <c r="H57" s="38"/>
      <c r="I57" s="44"/>
      <c r="J57" s="43"/>
      <c r="K57" s="45"/>
    </row>
    <row r="58" spans="1:19" s="2" customFormat="1" ht="15.75" x14ac:dyDescent="0.25">
      <c r="A58" s="32"/>
      <c r="B58" s="83"/>
      <c r="C58" s="11"/>
      <c r="D58" s="59"/>
      <c r="E58" s="60"/>
      <c r="F58" s="42"/>
      <c r="G58" s="43"/>
      <c r="H58" s="38"/>
      <c r="I58" s="44"/>
      <c r="J58" s="43"/>
      <c r="K58" s="66"/>
    </row>
    <row r="59" spans="1:19" s="2" customFormat="1" ht="15.75" x14ac:dyDescent="0.25">
      <c r="A59" s="32">
        <v>7302</v>
      </c>
      <c r="B59" s="21" t="s">
        <v>10</v>
      </c>
      <c r="C59" s="11"/>
      <c r="D59" s="59"/>
      <c r="E59" s="60"/>
      <c r="F59" s="42"/>
      <c r="G59" s="43"/>
      <c r="H59" s="133"/>
      <c r="I59" s="44"/>
      <c r="J59" s="43"/>
      <c r="K59" s="66"/>
    </row>
    <row r="60" spans="1:19" s="2" customFormat="1" ht="15.75" x14ac:dyDescent="0.25">
      <c r="A60" s="32"/>
      <c r="B60" s="69" t="s">
        <v>24</v>
      </c>
      <c r="C60" s="100">
        <f>6000-6000</f>
        <v>0</v>
      </c>
      <c r="D60" s="59"/>
      <c r="E60" s="35">
        <f t="shared" ref="E60:E64" si="7">SUM(C60:D60)</f>
        <v>0</v>
      </c>
      <c r="F60" s="42"/>
      <c r="G60" s="43"/>
      <c r="H60" s="136">
        <f t="shared" ref="H60:H64" si="8">SUM(F60:G60)</f>
        <v>0</v>
      </c>
      <c r="I60" s="67">
        <f>SUM(F60,C60)</f>
        <v>0</v>
      </c>
      <c r="J60" s="101"/>
      <c r="K60" s="72">
        <f>SUM(H60,E60)</f>
        <v>0</v>
      </c>
    </row>
    <row r="61" spans="1:19" s="2" customFormat="1" ht="15.75" x14ac:dyDescent="0.25">
      <c r="A61" s="32"/>
      <c r="B61" s="69" t="s">
        <v>42</v>
      </c>
      <c r="C61" s="100">
        <f>5000-5000</f>
        <v>0</v>
      </c>
      <c r="D61" s="59"/>
      <c r="E61" s="35">
        <f t="shared" si="7"/>
        <v>0</v>
      </c>
      <c r="F61" s="42"/>
      <c r="G61" s="43"/>
      <c r="H61" s="136">
        <f t="shared" si="8"/>
        <v>0</v>
      </c>
      <c r="I61" s="67">
        <f t="shared" ref="I61:I85" si="9">SUM(F61,C61)</f>
        <v>0</v>
      </c>
      <c r="J61" s="101"/>
      <c r="K61" s="72">
        <f t="shared" ref="K61:K78" si="10">SUM(H61,E61)</f>
        <v>0</v>
      </c>
    </row>
    <row r="62" spans="1:19" s="2" customFormat="1" ht="15.75" x14ac:dyDescent="0.25">
      <c r="A62" s="32"/>
      <c r="B62" s="69" t="s">
        <v>43</v>
      </c>
      <c r="C62" s="100"/>
      <c r="D62" s="59"/>
      <c r="E62" s="35"/>
      <c r="F62" s="68"/>
      <c r="G62" s="101"/>
      <c r="H62" s="136"/>
      <c r="I62" s="67">
        <f t="shared" si="9"/>
        <v>0</v>
      </c>
      <c r="J62" s="101"/>
      <c r="K62" s="72"/>
    </row>
    <row r="63" spans="1:19" s="2" customFormat="1" ht="31.5" x14ac:dyDescent="0.25">
      <c r="A63" s="32"/>
      <c r="B63" s="102" t="s">
        <v>45</v>
      </c>
      <c r="C63" s="100"/>
      <c r="D63" s="59"/>
      <c r="E63" s="35"/>
      <c r="F63" s="42"/>
      <c r="G63" s="43"/>
      <c r="H63" s="136"/>
      <c r="I63" s="67">
        <f t="shared" si="9"/>
        <v>0</v>
      </c>
      <c r="J63" s="101"/>
      <c r="K63" s="72"/>
    </row>
    <row r="64" spans="1:19" s="13" customFormat="1" ht="16.5" thickBot="1" x14ac:dyDescent="0.3">
      <c r="A64" s="32"/>
      <c r="B64" s="69" t="s">
        <v>23</v>
      </c>
      <c r="C64" s="100">
        <f>15000</f>
        <v>15000</v>
      </c>
      <c r="D64" s="34">
        <f>30000-11000</f>
        <v>19000</v>
      </c>
      <c r="E64" s="35">
        <f t="shared" si="7"/>
        <v>34000</v>
      </c>
      <c r="F64" s="44">
        <f>-10400-4600</f>
        <v>-15000</v>
      </c>
      <c r="G64" s="43">
        <f>10400-29400</f>
        <v>-19000</v>
      </c>
      <c r="H64" s="136">
        <f t="shared" si="8"/>
        <v>-34000</v>
      </c>
      <c r="I64" s="67">
        <f t="shared" si="9"/>
        <v>0</v>
      </c>
      <c r="J64" s="101">
        <f t="shared" ref="J64:J79" si="11">SUM(G64,D64)</f>
        <v>0</v>
      </c>
      <c r="K64" s="72">
        <f t="shared" si="10"/>
        <v>0</v>
      </c>
      <c r="L64" s="2"/>
      <c r="M64" s="2"/>
      <c r="N64" s="2"/>
      <c r="O64" s="2"/>
      <c r="P64" s="2"/>
      <c r="Q64" s="2"/>
      <c r="R64" s="2"/>
      <c r="S64" s="2"/>
    </row>
    <row r="65" spans="1:19" s="10" customFormat="1" ht="15.75" x14ac:dyDescent="0.25">
      <c r="A65" s="32"/>
      <c r="B65" s="69"/>
      <c r="C65" s="68"/>
      <c r="D65" s="59"/>
      <c r="E65" s="35"/>
      <c r="F65" s="42"/>
      <c r="G65" s="43"/>
      <c r="H65" s="136"/>
      <c r="I65" s="67"/>
      <c r="J65" s="101"/>
      <c r="K65" s="72"/>
      <c r="L65" s="2"/>
      <c r="M65" s="2"/>
      <c r="N65" s="2"/>
      <c r="O65" s="2"/>
      <c r="P65" s="2"/>
      <c r="Q65" s="2"/>
      <c r="R65" s="2"/>
      <c r="S65" s="2"/>
    </row>
    <row r="66" spans="1:19" s="1" customFormat="1" ht="15.75" x14ac:dyDescent="0.25">
      <c r="A66" s="32">
        <v>7303</v>
      </c>
      <c r="B66" s="21" t="s">
        <v>6</v>
      </c>
      <c r="C66" s="103"/>
      <c r="D66" s="59"/>
      <c r="E66" s="35"/>
      <c r="F66" s="42"/>
      <c r="G66" s="43"/>
      <c r="H66" s="136"/>
      <c r="I66" s="67"/>
      <c r="J66" s="101"/>
      <c r="K66" s="72"/>
      <c r="L66" s="2"/>
      <c r="M66" s="2"/>
      <c r="N66" s="2"/>
      <c r="O66" s="2"/>
      <c r="P66" s="2"/>
      <c r="Q66" s="2"/>
      <c r="R66" s="2"/>
      <c r="S66" s="2"/>
    </row>
    <row r="67" spans="1:19" s="1" customFormat="1" ht="15.75" customHeight="1" x14ac:dyDescent="0.25">
      <c r="A67" s="32"/>
      <c r="B67" s="104" t="s">
        <v>33</v>
      </c>
      <c r="C67" s="103"/>
      <c r="D67" s="59"/>
      <c r="E67" s="35"/>
      <c r="F67" s="42"/>
      <c r="G67" s="43"/>
      <c r="H67" s="136"/>
      <c r="I67" s="67"/>
      <c r="J67" s="101"/>
      <c r="K67" s="72"/>
      <c r="L67" s="2"/>
      <c r="M67" s="2"/>
      <c r="N67" s="2"/>
      <c r="O67" s="2"/>
      <c r="P67" s="2"/>
      <c r="Q67" s="2"/>
      <c r="R67" s="2"/>
      <c r="S67" s="2"/>
    </row>
    <row r="68" spans="1:19" s="1" customFormat="1" ht="15.75" customHeight="1" x14ac:dyDescent="0.25">
      <c r="A68" s="32"/>
      <c r="B68" s="104" t="s">
        <v>75</v>
      </c>
      <c r="C68" s="103">
        <f>4000-2271</f>
        <v>1729</v>
      </c>
      <c r="D68" s="59"/>
      <c r="E68" s="35">
        <f t="shared" ref="E68" si="12">SUM(C68:D68)</f>
        <v>1729</v>
      </c>
      <c r="F68" s="68">
        <f>-300</f>
        <v>-300</v>
      </c>
      <c r="G68" s="43"/>
      <c r="H68" s="136">
        <f t="shared" ref="H68" si="13">SUM(F68:G68)</f>
        <v>-300</v>
      </c>
      <c r="I68" s="67">
        <f t="shared" si="9"/>
        <v>1429</v>
      </c>
      <c r="J68" s="101"/>
      <c r="K68" s="72">
        <f t="shared" si="10"/>
        <v>1429</v>
      </c>
      <c r="L68" s="2"/>
      <c r="M68" s="2"/>
      <c r="N68" s="2"/>
      <c r="O68" s="2"/>
      <c r="P68" s="2"/>
      <c r="Q68" s="2"/>
      <c r="R68" s="2"/>
      <c r="S68" s="2"/>
    </row>
    <row r="69" spans="1:19" s="1" customFormat="1" ht="12.75" customHeight="1" x14ac:dyDescent="0.25">
      <c r="A69" s="32"/>
      <c r="B69" s="83"/>
      <c r="C69" s="71"/>
      <c r="D69" s="59"/>
      <c r="E69" s="35"/>
      <c r="F69" s="42"/>
      <c r="G69" s="43"/>
      <c r="H69" s="136"/>
      <c r="I69" s="67"/>
      <c r="J69" s="101"/>
      <c r="K69" s="72"/>
      <c r="L69" s="2"/>
      <c r="M69" s="2"/>
      <c r="N69" s="2"/>
      <c r="O69" s="2"/>
      <c r="P69" s="2"/>
      <c r="Q69" s="2"/>
      <c r="R69" s="2"/>
      <c r="S69" s="2"/>
    </row>
    <row r="70" spans="1:19" s="1" customFormat="1" ht="15.75" x14ac:dyDescent="0.25">
      <c r="A70" s="32">
        <v>7304</v>
      </c>
      <c r="B70" s="21" t="s">
        <v>11</v>
      </c>
      <c r="C70" s="103"/>
      <c r="D70" s="59"/>
      <c r="E70" s="60"/>
      <c r="F70" s="42"/>
      <c r="G70" s="43"/>
      <c r="H70" s="133"/>
      <c r="I70" s="67"/>
      <c r="J70" s="101"/>
      <c r="K70" s="72"/>
      <c r="L70" s="2"/>
      <c r="M70" s="2"/>
      <c r="N70" s="2"/>
      <c r="O70" s="2"/>
      <c r="P70" s="2"/>
      <c r="Q70" s="2"/>
      <c r="R70" s="2"/>
      <c r="S70" s="2"/>
    </row>
    <row r="71" spans="1:19" s="1" customFormat="1" ht="15.75" x14ac:dyDescent="0.25">
      <c r="A71" s="32"/>
      <c r="B71" s="21" t="s">
        <v>41</v>
      </c>
      <c r="C71" s="103"/>
      <c r="D71" s="59"/>
      <c r="E71" s="60"/>
      <c r="F71" s="42"/>
      <c r="G71" s="43"/>
      <c r="H71" s="133"/>
      <c r="I71" s="67"/>
      <c r="J71" s="101"/>
      <c r="K71" s="72"/>
      <c r="L71" s="2"/>
      <c r="M71" s="2"/>
      <c r="N71" s="2"/>
      <c r="O71" s="2"/>
      <c r="P71" s="2"/>
      <c r="Q71" s="2"/>
      <c r="R71" s="2"/>
      <c r="S71" s="2"/>
    </row>
    <row r="72" spans="1:19" s="1" customFormat="1" ht="31.5" x14ac:dyDescent="0.25">
      <c r="A72" s="32"/>
      <c r="B72" s="105" t="s">
        <v>44</v>
      </c>
      <c r="C72" s="103"/>
      <c r="D72" s="59"/>
      <c r="E72" s="60"/>
      <c r="F72" s="42"/>
      <c r="G72" s="43"/>
      <c r="H72" s="133"/>
      <c r="I72" s="67"/>
      <c r="J72" s="101"/>
      <c r="K72" s="72"/>
      <c r="L72" s="2"/>
      <c r="M72" s="2"/>
      <c r="N72" s="2"/>
      <c r="O72" s="2"/>
      <c r="P72" s="2"/>
      <c r="Q72" s="2"/>
      <c r="R72" s="2"/>
      <c r="S72" s="2"/>
    </row>
    <row r="73" spans="1:19" s="1" customFormat="1" ht="12" customHeight="1" x14ac:dyDescent="0.25">
      <c r="A73" s="32"/>
      <c r="B73" s="21"/>
      <c r="C73" s="18"/>
      <c r="D73" s="34"/>
      <c r="E73" s="60"/>
      <c r="F73" s="42"/>
      <c r="G73" s="43"/>
      <c r="H73" s="133"/>
      <c r="I73" s="67"/>
      <c r="J73" s="101"/>
      <c r="K73" s="72"/>
      <c r="L73" s="2"/>
      <c r="M73" s="2"/>
      <c r="N73" s="2"/>
      <c r="O73" s="2"/>
      <c r="P73" s="2"/>
      <c r="Q73" s="2"/>
      <c r="R73" s="2"/>
      <c r="S73" s="2"/>
    </row>
    <row r="74" spans="1:19" s="1" customFormat="1" ht="16.5" customHeight="1" x14ac:dyDescent="0.25">
      <c r="A74" s="32">
        <v>7305</v>
      </c>
      <c r="B74" s="21" t="s">
        <v>7</v>
      </c>
      <c r="C74" s="18"/>
      <c r="D74" s="59"/>
      <c r="E74" s="60"/>
      <c r="F74" s="42"/>
      <c r="G74" s="43"/>
      <c r="H74" s="133"/>
      <c r="I74" s="67"/>
      <c r="J74" s="101"/>
      <c r="K74" s="72"/>
      <c r="L74" s="2"/>
      <c r="M74" s="2"/>
      <c r="N74" s="2"/>
      <c r="O74" s="2"/>
      <c r="P74" s="2"/>
      <c r="Q74" s="2"/>
      <c r="R74" s="2"/>
      <c r="S74" s="2"/>
    </row>
    <row r="75" spans="1:19" s="1" customFormat="1" ht="16.5" customHeight="1" x14ac:dyDescent="0.25">
      <c r="A75" s="32"/>
      <c r="B75" s="21" t="s">
        <v>13</v>
      </c>
      <c r="C75" s="18"/>
      <c r="D75" s="34">
        <f>45000-5914</f>
        <v>39086</v>
      </c>
      <c r="E75" s="60">
        <f>SUM(C75:D75)</f>
        <v>39086</v>
      </c>
      <c r="F75" s="42"/>
      <c r="G75" s="43"/>
      <c r="H75" s="133">
        <f t="shared" ref="H75:H78" si="14">SUM(F75:G75)</f>
        <v>0</v>
      </c>
      <c r="I75" s="67"/>
      <c r="J75" s="101">
        <f t="shared" si="11"/>
        <v>39086</v>
      </c>
      <c r="K75" s="72">
        <f t="shared" si="10"/>
        <v>39086</v>
      </c>
      <c r="L75" s="2"/>
      <c r="M75" s="2"/>
      <c r="N75" s="2"/>
      <c r="O75" s="2"/>
      <c r="P75" s="2"/>
      <c r="Q75" s="2"/>
      <c r="R75" s="2"/>
      <c r="S75" s="2"/>
    </row>
    <row r="76" spans="1:19" s="1" customFormat="1" ht="16.5" customHeight="1" x14ac:dyDescent="0.25">
      <c r="A76" s="32"/>
      <c r="B76" s="21" t="s">
        <v>27</v>
      </c>
      <c r="C76" s="18"/>
      <c r="D76" s="34">
        <f>25000+797</f>
        <v>25797</v>
      </c>
      <c r="E76" s="60">
        <f t="shared" ref="E76" si="15">SUM(C76:D76)</f>
        <v>25797</v>
      </c>
      <c r="F76" s="42"/>
      <c r="G76" s="43"/>
      <c r="H76" s="133">
        <f t="shared" si="14"/>
        <v>0</v>
      </c>
      <c r="I76" s="67"/>
      <c r="J76" s="101">
        <f t="shared" si="11"/>
        <v>25797</v>
      </c>
      <c r="K76" s="72">
        <f t="shared" si="10"/>
        <v>25797</v>
      </c>
      <c r="L76" s="2"/>
      <c r="M76" s="2"/>
      <c r="N76" s="2"/>
      <c r="O76" s="2"/>
      <c r="P76" s="2"/>
      <c r="Q76" s="2"/>
      <c r="R76" s="2"/>
      <c r="S76" s="2"/>
    </row>
    <row r="77" spans="1:19" s="1" customFormat="1" ht="16.5" customHeight="1" x14ac:dyDescent="0.25">
      <c r="A77" s="32"/>
      <c r="B77" s="21" t="s">
        <v>20</v>
      </c>
      <c r="C77" s="18"/>
      <c r="D77" s="34">
        <f>25000+4371</f>
        <v>29371</v>
      </c>
      <c r="E77" s="60">
        <f>SUM(C77:D77)</f>
        <v>29371</v>
      </c>
      <c r="F77" s="42"/>
      <c r="G77" s="43"/>
      <c r="H77" s="133">
        <f t="shared" si="14"/>
        <v>0</v>
      </c>
      <c r="I77" s="67"/>
      <c r="J77" s="101">
        <f t="shared" si="11"/>
        <v>29371</v>
      </c>
      <c r="K77" s="72">
        <f t="shared" si="10"/>
        <v>29371</v>
      </c>
      <c r="L77" s="2"/>
      <c r="M77" s="2"/>
      <c r="N77" s="2"/>
      <c r="O77" s="2"/>
      <c r="P77" s="2"/>
      <c r="Q77" s="2"/>
      <c r="R77" s="2"/>
      <c r="S77" s="2"/>
    </row>
    <row r="78" spans="1:19" s="1" customFormat="1" ht="16.5" customHeight="1" x14ac:dyDescent="0.25">
      <c r="A78" s="32"/>
      <c r="B78" s="21" t="s">
        <v>76</v>
      </c>
      <c r="C78" s="103">
        <f>5000-1200</f>
        <v>3800</v>
      </c>
      <c r="D78" s="34"/>
      <c r="E78" s="60">
        <f>SUM(C78:D78)</f>
        <v>3800</v>
      </c>
      <c r="F78" s="137">
        <f>-1200</f>
        <v>-1200</v>
      </c>
      <c r="G78" s="101"/>
      <c r="H78" s="133">
        <f t="shared" si="14"/>
        <v>-1200</v>
      </c>
      <c r="I78" s="67">
        <f t="shared" si="9"/>
        <v>2600</v>
      </c>
      <c r="J78" s="101"/>
      <c r="K78" s="72">
        <f t="shared" si="10"/>
        <v>2600</v>
      </c>
      <c r="L78" s="2"/>
      <c r="M78" s="2"/>
      <c r="N78" s="2"/>
      <c r="O78" s="2"/>
      <c r="P78" s="2"/>
      <c r="Q78" s="2"/>
      <c r="R78" s="2"/>
      <c r="S78" s="2"/>
    </row>
    <row r="79" spans="1:19" s="1" customFormat="1" ht="16.5" customHeight="1" x14ac:dyDescent="0.25">
      <c r="A79" s="32"/>
      <c r="B79" s="21" t="s">
        <v>77</v>
      </c>
      <c r="C79" s="103"/>
      <c r="D79" s="34">
        <f>7000+746</f>
        <v>7746</v>
      </c>
      <c r="E79" s="60">
        <f>SUM(C79:D79)</f>
        <v>7746</v>
      </c>
      <c r="F79" s="42"/>
      <c r="G79" s="43"/>
      <c r="H79" s="133">
        <f t="shared" ref="H79" si="16">SUM(F79:G79)</f>
        <v>0</v>
      </c>
      <c r="I79" s="67"/>
      <c r="J79" s="101">
        <f t="shared" si="11"/>
        <v>7746</v>
      </c>
      <c r="K79" s="72">
        <f>SUM(H79,E79)</f>
        <v>7746</v>
      </c>
      <c r="L79" s="2"/>
      <c r="M79" s="2"/>
      <c r="N79" s="2"/>
      <c r="O79" s="2"/>
      <c r="P79" s="2"/>
      <c r="Q79" s="2"/>
      <c r="R79" s="2"/>
      <c r="S79" s="2"/>
    </row>
    <row r="80" spans="1:19" s="1" customFormat="1" ht="12" customHeight="1" x14ac:dyDescent="0.25">
      <c r="A80" s="32"/>
      <c r="B80" s="21"/>
      <c r="C80" s="103"/>
      <c r="D80" s="34"/>
      <c r="E80" s="60"/>
      <c r="F80" s="42"/>
      <c r="G80" s="43"/>
      <c r="H80" s="133"/>
      <c r="I80" s="67"/>
      <c r="J80" s="101"/>
      <c r="K80" s="72"/>
      <c r="L80" s="2"/>
      <c r="M80" s="2"/>
      <c r="N80" s="2"/>
      <c r="O80" s="2"/>
      <c r="P80" s="2"/>
      <c r="Q80" s="2"/>
      <c r="R80" s="2"/>
      <c r="S80" s="2"/>
    </row>
    <row r="81" spans="1:19" s="1" customFormat="1" ht="16.5" customHeight="1" x14ac:dyDescent="0.25">
      <c r="A81" s="32">
        <v>7306</v>
      </c>
      <c r="B81" s="21" t="s">
        <v>12</v>
      </c>
      <c r="C81" s="18"/>
      <c r="D81" s="34"/>
      <c r="E81" s="60"/>
      <c r="F81" s="42"/>
      <c r="G81" s="43"/>
      <c r="H81" s="133"/>
      <c r="I81" s="67"/>
      <c r="J81" s="101"/>
      <c r="K81" s="72"/>
      <c r="L81" s="2"/>
      <c r="M81" s="2"/>
      <c r="N81" s="2"/>
      <c r="O81" s="2"/>
      <c r="P81" s="2"/>
      <c r="Q81" s="2"/>
      <c r="R81" s="2"/>
      <c r="S81" s="2"/>
    </row>
    <row r="82" spans="1:19" s="1" customFormat="1" ht="16.5" customHeight="1" x14ac:dyDescent="0.25">
      <c r="A82" s="32"/>
      <c r="B82" s="21" t="s">
        <v>32</v>
      </c>
      <c r="C82" s="103">
        <f>5000-1230</f>
        <v>3770</v>
      </c>
      <c r="D82" s="34"/>
      <c r="E82" s="60">
        <f t="shared" ref="E82:E85" si="17">SUM(C82:D82)</f>
        <v>3770</v>
      </c>
      <c r="F82" s="42"/>
      <c r="G82" s="43"/>
      <c r="H82" s="133">
        <f t="shared" ref="H82" si="18">SUM(F82:G82)</f>
        <v>0</v>
      </c>
      <c r="I82" s="67">
        <f t="shared" si="9"/>
        <v>3770</v>
      </c>
      <c r="J82" s="101"/>
      <c r="K82" s="72">
        <f t="shared" ref="K82:K85" si="19">SUM(H82,E82)</f>
        <v>3770</v>
      </c>
      <c r="L82" s="2"/>
      <c r="M82" s="2"/>
      <c r="N82" s="2"/>
      <c r="O82" s="2"/>
      <c r="P82" s="2"/>
      <c r="Q82" s="2"/>
      <c r="R82" s="2"/>
      <c r="S82" s="2"/>
    </row>
    <row r="83" spans="1:19" s="1" customFormat="1" ht="16.5" customHeight="1" x14ac:dyDescent="0.25">
      <c r="A83" s="32"/>
      <c r="B83" s="21" t="s">
        <v>30</v>
      </c>
      <c r="C83" s="103">
        <v>12000</v>
      </c>
      <c r="D83" s="34"/>
      <c r="E83" s="60">
        <f t="shared" si="17"/>
        <v>12000</v>
      </c>
      <c r="F83" s="42"/>
      <c r="G83" s="43"/>
      <c r="H83" s="133"/>
      <c r="I83" s="67">
        <f t="shared" si="9"/>
        <v>12000</v>
      </c>
      <c r="J83" s="101"/>
      <c r="K83" s="72">
        <f t="shared" si="19"/>
        <v>12000</v>
      </c>
      <c r="L83" s="2"/>
      <c r="M83" s="2"/>
      <c r="N83" s="2"/>
      <c r="O83" s="2"/>
      <c r="P83" s="2"/>
      <c r="Q83" s="2"/>
      <c r="R83" s="2"/>
      <c r="S83" s="2"/>
    </row>
    <row r="84" spans="1:19" s="1" customFormat="1" ht="16.5" customHeight="1" x14ac:dyDescent="0.25">
      <c r="A84" s="32"/>
      <c r="B84" s="21" t="s">
        <v>31</v>
      </c>
      <c r="C84" s="103">
        <v>500</v>
      </c>
      <c r="D84" s="34"/>
      <c r="E84" s="60">
        <f t="shared" si="17"/>
        <v>500</v>
      </c>
      <c r="F84" s="42"/>
      <c r="G84" s="43"/>
      <c r="H84" s="133"/>
      <c r="I84" s="67">
        <f t="shared" si="9"/>
        <v>500</v>
      </c>
      <c r="J84" s="101"/>
      <c r="K84" s="72">
        <f t="shared" si="19"/>
        <v>500</v>
      </c>
      <c r="L84" s="2"/>
      <c r="M84" s="2"/>
      <c r="N84" s="2"/>
      <c r="O84" s="2"/>
      <c r="P84" s="2"/>
      <c r="Q84" s="2"/>
      <c r="R84" s="2"/>
      <c r="S84" s="2"/>
    </row>
    <row r="85" spans="1:19" s="1" customFormat="1" ht="16.5" customHeight="1" x14ac:dyDescent="0.25">
      <c r="A85" s="32"/>
      <c r="B85" s="21" t="s">
        <v>28</v>
      </c>
      <c r="C85" s="18">
        <v>360</v>
      </c>
      <c r="D85" s="34"/>
      <c r="E85" s="60">
        <f t="shared" si="17"/>
        <v>360</v>
      </c>
      <c r="F85" s="42"/>
      <c r="G85" s="43"/>
      <c r="H85" s="133"/>
      <c r="I85" s="67">
        <f t="shared" si="9"/>
        <v>360</v>
      </c>
      <c r="J85" s="101"/>
      <c r="K85" s="72">
        <f t="shared" si="19"/>
        <v>360</v>
      </c>
      <c r="L85" s="2"/>
      <c r="M85" s="2"/>
      <c r="N85" s="2"/>
      <c r="O85" s="2"/>
      <c r="P85" s="2"/>
      <c r="Q85" s="2"/>
      <c r="R85" s="2"/>
      <c r="S85" s="2"/>
    </row>
    <row r="86" spans="1:19" s="1" customFormat="1" ht="12" customHeight="1" x14ac:dyDescent="0.25">
      <c r="A86" s="106"/>
      <c r="B86" s="107"/>
      <c r="C86" s="18"/>
      <c r="D86" s="49"/>
      <c r="E86" s="50"/>
      <c r="F86" s="42"/>
      <c r="G86" s="43"/>
      <c r="H86" s="133"/>
      <c r="I86" s="44"/>
      <c r="J86" s="43"/>
      <c r="K86" s="45"/>
      <c r="L86" s="2"/>
      <c r="M86" s="2"/>
      <c r="N86" s="2"/>
      <c r="O86" s="2"/>
      <c r="P86" s="2"/>
      <c r="Q86" s="2"/>
      <c r="R86" s="2"/>
      <c r="S86" s="2"/>
    </row>
    <row r="87" spans="1:19" s="2" customFormat="1" ht="18" customHeight="1" x14ac:dyDescent="0.25">
      <c r="A87" s="108">
        <v>7300</v>
      </c>
      <c r="B87" s="109" t="s">
        <v>80</v>
      </c>
      <c r="C87" s="86"/>
      <c r="D87" s="87"/>
      <c r="E87" s="88"/>
      <c r="F87" s="92"/>
      <c r="G87" s="90"/>
      <c r="H87" s="91"/>
      <c r="I87" s="92"/>
      <c r="J87" s="90"/>
      <c r="K87" s="93"/>
    </row>
    <row r="88" spans="1:19" s="1" customFormat="1" ht="15.75" x14ac:dyDescent="0.25">
      <c r="A88" s="46"/>
      <c r="B88" s="110" t="s">
        <v>8</v>
      </c>
      <c r="C88" s="111">
        <f>SUM(C58:C86)</f>
        <v>37159</v>
      </c>
      <c r="D88" s="49">
        <f t="shared" ref="D88" si="20">SUM(D58:D86)</f>
        <v>121000</v>
      </c>
      <c r="E88" s="50">
        <f>SUM(E58:E86)</f>
        <v>158159</v>
      </c>
      <c r="F88" s="112">
        <f t="shared" ref="F88:I88" si="21">SUM(F58:F86)</f>
        <v>-16500</v>
      </c>
      <c r="G88" s="49">
        <f t="shared" si="21"/>
        <v>-19000</v>
      </c>
      <c r="H88" s="50">
        <f t="shared" si="21"/>
        <v>-35500</v>
      </c>
      <c r="I88" s="112">
        <f t="shared" si="21"/>
        <v>20659</v>
      </c>
      <c r="J88" s="49">
        <f>SUM(J58:J86)</f>
        <v>102000</v>
      </c>
      <c r="K88" s="113">
        <f>SUM(K58:K86)</f>
        <v>122659</v>
      </c>
      <c r="L88" s="14"/>
      <c r="M88" s="14"/>
      <c r="N88" s="14"/>
      <c r="O88" s="14"/>
      <c r="P88" s="14"/>
      <c r="Q88" s="14"/>
      <c r="R88" s="2"/>
      <c r="S88" s="2"/>
    </row>
    <row r="89" spans="1:19" s="1" customFormat="1" ht="12" customHeight="1" x14ac:dyDescent="0.25">
      <c r="A89" s="41"/>
      <c r="B89" s="114"/>
      <c r="C89" s="86"/>
      <c r="D89" s="87"/>
      <c r="E89" s="60"/>
      <c r="F89" s="42"/>
      <c r="G89" s="43"/>
      <c r="H89" s="38"/>
      <c r="I89" s="44"/>
      <c r="J89" s="43"/>
      <c r="K89" s="45"/>
      <c r="L89" s="2"/>
      <c r="M89" s="2"/>
      <c r="N89" s="2"/>
      <c r="O89" s="2"/>
      <c r="P89" s="2"/>
      <c r="Q89" s="2"/>
      <c r="R89" s="2"/>
      <c r="S89" s="2"/>
    </row>
    <row r="90" spans="1:19" s="1" customFormat="1" ht="15.75" x14ac:dyDescent="0.25">
      <c r="A90" s="41" t="s">
        <v>17</v>
      </c>
      <c r="B90" s="114" t="s">
        <v>26</v>
      </c>
      <c r="C90" s="115"/>
      <c r="D90" s="59">
        <f>4000000-236275</f>
        <v>3763725</v>
      </c>
      <c r="E90" s="60">
        <f>SUM(C90:D90)</f>
        <v>3763725</v>
      </c>
      <c r="F90" s="42"/>
      <c r="G90" s="43"/>
      <c r="H90" s="133">
        <f t="shared" ref="H90" si="22">SUM(F90:G90)</f>
        <v>0</v>
      </c>
      <c r="I90" s="67"/>
      <c r="J90" s="101">
        <f>SUM(G90,D90)</f>
        <v>3763725</v>
      </c>
      <c r="K90" s="116">
        <f>SUM(H90,E90)</f>
        <v>3763725</v>
      </c>
      <c r="L90" s="2"/>
      <c r="M90" s="2"/>
      <c r="N90" s="2"/>
      <c r="O90" s="2"/>
      <c r="P90" s="2"/>
      <c r="Q90" s="2"/>
      <c r="R90" s="2"/>
      <c r="S90" s="2"/>
    </row>
    <row r="91" spans="1:19" s="1" customFormat="1" ht="12" customHeight="1" x14ac:dyDescent="0.25">
      <c r="A91" s="46"/>
      <c r="B91" s="110" t="s">
        <v>25</v>
      </c>
      <c r="C91" s="111"/>
      <c r="D91" s="49"/>
      <c r="E91" s="50"/>
      <c r="F91" s="117"/>
      <c r="G91" s="118"/>
      <c r="H91" s="119"/>
      <c r="I91" s="117"/>
      <c r="J91" s="118"/>
      <c r="K91" s="120"/>
      <c r="L91" s="2"/>
      <c r="M91" s="2"/>
      <c r="N91" s="2"/>
      <c r="O91" s="2"/>
      <c r="P91" s="2"/>
      <c r="Q91" s="2"/>
      <c r="R91" s="2"/>
      <c r="S91" s="2"/>
    </row>
    <row r="92" spans="1:19" s="1" customFormat="1" ht="12" customHeight="1" x14ac:dyDescent="0.25">
      <c r="A92" s="41"/>
      <c r="B92" s="114"/>
      <c r="C92" s="115"/>
      <c r="D92" s="115"/>
      <c r="E92" s="60"/>
      <c r="F92" s="42"/>
      <c r="G92" s="43"/>
      <c r="H92" s="38"/>
      <c r="I92" s="44"/>
      <c r="J92" s="43"/>
      <c r="K92" s="45"/>
      <c r="L92" s="2"/>
      <c r="M92" s="2"/>
      <c r="N92" s="2"/>
      <c r="O92" s="2"/>
      <c r="P92" s="2"/>
      <c r="Q92" s="2"/>
      <c r="R92" s="2"/>
      <c r="S92" s="2"/>
    </row>
    <row r="93" spans="1:19" s="1" customFormat="1" ht="15" customHeight="1" x14ac:dyDescent="0.25">
      <c r="A93" s="41" t="s">
        <v>37</v>
      </c>
      <c r="B93" s="114" t="s">
        <v>81</v>
      </c>
      <c r="C93" s="115"/>
      <c r="D93" s="115">
        <f>192775+1+390682-163725</f>
        <v>419733</v>
      </c>
      <c r="E93" s="60">
        <f>SUM(C93:D93)</f>
        <v>419733</v>
      </c>
      <c r="F93" s="42"/>
      <c r="G93" s="101"/>
      <c r="H93" s="133">
        <f t="shared" ref="H93" si="23">SUM(F93:G93)</f>
        <v>0</v>
      </c>
      <c r="I93" s="67"/>
      <c r="J93" s="101">
        <f>SUM(G93,D93)</f>
        <v>419733</v>
      </c>
      <c r="K93" s="116">
        <f>SUM(H93,E93)</f>
        <v>419733</v>
      </c>
      <c r="L93" s="2"/>
      <c r="M93" s="2"/>
      <c r="N93" s="2"/>
      <c r="O93" s="2"/>
      <c r="P93" s="2"/>
      <c r="Q93" s="2"/>
      <c r="R93" s="2"/>
      <c r="S93" s="2"/>
    </row>
    <row r="94" spans="1:19" s="1" customFormat="1" ht="12" customHeight="1" thickBot="1" x14ac:dyDescent="0.3">
      <c r="A94" s="41"/>
      <c r="B94" s="114"/>
      <c r="C94" s="115"/>
      <c r="D94" s="115"/>
      <c r="E94" s="60"/>
      <c r="F94" s="121"/>
      <c r="G94" s="122"/>
      <c r="H94" s="123"/>
      <c r="I94" s="44"/>
      <c r="J94" s="43"/>
      <c r="K94" s="45"/>
      <c r="L94" s="2"/>
      <c r="M94" s="2"/>
      <c r="N94" s="2"/>
      <c r="O94" s="2"/>
      <c r="P94" s="2"/>
      <c r="Q94" s="2"/>
      <c r="R94" s="2"/>
      <c r="S94" s="2"/>
    </row>
    <row r="95" spans="1:19" s="1" customFormat="1" ht="10.5" customHeight="1" x14ac:dyDescent="0.25">
      <c r="A95" s="124"/>
      <c r="B95" s="125"/>
      <c r="C95" s="126"/>
      <c r="D95" s="126"/>
      <c r="E95" s="127"/>
      <c r="F95" s="42"/>
      <c r="G95" s="43"/>
      <c r="H95" s="38"/>
      <c r="I95" s="39"/>
      <c r="J95" s="37"/>
      <c r="K95" s="40"/>
      <c r="L95" s="2"/>
      <c r="M95" s="2"/>
      <c r="N95" s="2"/>
      <c r="O95" s="2"/>
      <c r="P95" s="2"/>
      <c r="Q95" s="2"/>
      <c r="R95" s="2"/>
      <c r="S95" s="2"/>
    </row>
    <row r="96" spans="1:19" s="1" customFormat="1" ht="15.75" x14ac:dyDescent="0.25">
      <c r="A96" s="41">
        <v>7000</v>
      </c>
      <c r="B96" s="114" t="s">
        <v>67</v>
      </c>
      <c r="C96" s="115">
        <f t="shared" ref="C96:K96" si="24">+C90+C88+C56+C12+C93</f>
        <v>183879</v>
      </c>
      <c r="D96" s="115">
        <f t="shared" si="24"/>
        <v>4386779</v>
      </c>
      <c r="E96" s="60">
        <f t="shared" si="24"/>
        <v>4570658</v>
      </c>
      <c r="F96" s="115">
        <f t="shared" si="24"/>
        <v>-53106</v>
      </c>
      <c r="G96" s="59">
        <f t="shared" si="24"/>
        <v>-76424</v>
      </c>
      <c r="H96" s="60">
        <f t="shared" si="24"/>
        <v>-129530</v>
      </c>
      <c r="I96" s="128">
        <f t="shared" si="24"/>
        <v>130773</v>
      </c>
      <c r="J96" s="59">
        <f t="shared" si="24"/>
        <v>4310355</v>
      </c>
      <c r="K96" s="80">
        <f t="shared" si="24"/>
        <v>4441128</v>
      </c>
      <c r="L96" s="14"/>
      <c r="M96" s="14"/>
      <c r="N96" s="14"/>
      <c r="O96" s="14"/>
      <c r="P96" s="14"/>
      <c r="Q96" s="14"/>
      <c r="R96" s="2"/>
      <c r="S96" s="2"/>
    </row>
    <row r="97" spans="1:19" s="1" customFormat="1" ht="9.75" customHeight="1" thickBot="1" x14ac:dyDescent="0.3">
      <c r="A97" s="129"/>
      <c r="B97" s="130"/>
      <c r="C97" s="95"/>
      <c r="D97" s="95"/>
      <c r="E97" s="97"/>
      <c r="F97" s="121"/>
      <c r="G97" s="122"/>
      <c r="H97" s="123"/>
      <c r="I97" s="121"/>
      <c r="J97" s="122"/>
      <c r="K97" s="131"/>
      <c r="L97" s="2"/>
      <c r="M97" s="2"/>
      <c r="N97" s="2"/>
      <c r="O97" s="2"/>
      <c r="P97" s="2"/>
      <c r="Q97" s="2"/>
      <c r="R97" s="2"/>
      <c r="S97" s="2"/>
    </row>
  </sheetData>
  <mergeCells count="22">
    <mergeCell ref="C4:E4"/>
    <mergeCell ref="C5:C7"/>
    <mergeCell ref="D5:D7"/>
    <mergeCell ref="E5:E7"/>
    <mergeCell ref="A1:K1"/>
    <mergeCell ref="A2:K2"/>
    <mergeCell ref="P4:P7"/>
    <mergeCell ref="Q4:Q7"/>
    <mergeCell ref="R4:R7"/>
    <mergeCell ref="S4:S7"/>
    <mergeCell ref="F5:F7"/>
    <mergeCell ref="G5:G7"/>
    <mergeCell ref="H5:H7"/>
    <mergeCell ref="F4:H4"/>
    <mergeCell ref="I5:I7"/>
    <mergeCell ref="J5:J7"/>
    <mergeCell ref="K5:K7"/>
    <mergeCell ref="I4:K4"/>
    <mergeCell ref="L4:L7"/>
    <mergeCell ref="M4:M7"/>
    <mergeCell ref="N4:N7"/>
    <mergeCell ref="O4:O7"/>
  </mergeCells>
  <phoneticPr fontId="0" type="noConversion"/>
  <printOptions horizontalCentered="1" verticalCentered="1"/>
  <pageMargins left="0.51181102362204722" right="0.39370078740157483" top="0.55118110236220474" bottom="0.51181102362204722" header="0.74803149606299213" footer="0.51181102362204722"/>
  <pageSetup paperSize="9" scale="48" orientation="landscape" horizontalDpi="300" verticalDpi="300" r:id="rId1"/>
  <headerFooter alignWithMargins="0">
    <oddHeader>&amp;R12. számú melléklet &amp;P. oldal a .../2012. (...) önkormányzati rendelethez
 az 5/2012. (II. 20.) rendelet
13. számú táblázat módosításához</oddHeader>
  </headerFooter>
  <rowBreaks count="1" manualBreakCount="1">
    <brk id="56" max="10" man="1"/>
  </rowBreaks>
  <ignoredErrors>
    <ignoredError sqref="H5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Szabó Sándor Roland</cp:lastModifiedBy>
  <cp:lastPrinted>2012-12-03T14:54:44Z</cp:lastPrinted>
  <dcterms:created xsi:type="dcterms:W3CDTF">2000-02-06T06:27:57Z</dcterms:created>
  <dcterms:modified xsi:type="dcterms:W3CDTF">2012-12-03T14:54:47Z</dcterms:modified>
</cp:coreProperties>
</file>