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440" windowHeight="7755"/>
  </bookViews>
  <sheets>
    <sheet name="Bevételek" sheetId="4" r:id="rId1"/>
    <sheet name="Költségek" sheetId="3" r:id="rId2"/>
    <sheet name="Munkabér+ járulék" sheetId="2" r:id="rId3"/>
    <sheet name="Szakmai program" sheetId="6" r:id="rId4"/>
  </sheets>
  <definedNames>
    <definedName name="_xlnm.Print_Titles" localSheetId="1">Költségek!$3:$3</definedName>
    <definedName name="_xlnm.Print_Titles" localSheetId="2">'Munkabér+ járulék'!$2:$2</definedName>
    <definedName name="_xlnm.Print_Area" localSheetId="0">Bevételek!$A$1:$C$19</definedName>
    <definedName name="_xlnm.Print_Area" localSheetId="1">Költségek!$A$1:$F$56</definedName>
    <definedName name="_xlnm.Print_Area" localSheetId="2">'Munkabér+ járulék'!$A$1:$I$29</definedName>
    <definedName name="_xlnm.Print_Area" localSheetId="3">'Szakmai program'!$A$1:$N$29</definedName>
  </definedNames>
  <calcPr calcId="152511"/>
</workbook>
</file>

<file path=xl/calcChain.xml><?xml version="1.0" encoding="utf-8"?>
<calcChain xmlns="http://schemas.openxmlformats.org/spreadsheetml/2006/main">
  <c r="D17" i="4" l="1"/>
  <c r="C5" i="4" l="1"/>
  <c r="D5" i="4"/>
  <c r="D7" i="4"/>
  <c r="D8" i="4"/>
  <c r="D9" i="4"/>
  <c r="D10" i="4"/>
  <c r="C11" i="4"/>
  <c r="D11" i="4"/>
  <c r="B13" i="4"/>
  <c r="F5" i="3"/>
  <c r="F6" i="3"/>
  <c r="F7" i="3"/>
  <c r="F8" i="3"/>
  <c r="F9" i="3"/>
  <c r="F10" i="3"/>
  <c r="F11" i="3"/>
  <c r="B13" i="3"/>
  <c r="C13" i="3"/>
  <c r="D13" i="3"/>
  <c r="F15" i="3"/>
  <c r="F16" i="3"/>
  <c r="F17" i="3"/>
  <c r="F18" i="3"/>
  <c r="F21" i="3"/>
  <c r="F22" i="3"/>
  <c r="F23" i="3"/>
  <c r="F24" i="3"/>
  <c r="F25" i="3"/>
  <c r="D26" i="3"/>
  <c r="F26" i="3" s="1"/>
  <c r="F27" i="3"/>
  <c r="F28" i="3"/>
  <c r="F29" i="3"/>
  <c r="F30" i="3"/>
  <c r="F31" i="3"/>
  <c r="F32" i="3"/>
  <c r="F33" i="3"/>
  <c r="F37" i="3"/>
  <c r="F39" i="3"/>
  <c r="F40" i="3"/>
  <c r="F42" i="3"/>
  <c r="F43" i="3"/>
  <c r="D44" i="3"/>
  <c r="F44" i="3" s="1"/>
  <c r="D45" i="3"/>
  <c r="F45" i="3" s="1"/>
  <c r="B46" i="3"/>
  <c r="C46" i="3"/>
  <c r="D46" i="3"/>
  <c r="D55" i="3" s="1"/>
  <c r="D51" i="3"/>
  <c r="D52" i="3"/>
  <c r="C53" i="3"/>
  <c r="C56" i="3" l="1"/>
  <c r="J26" i="6"/>
  <c r="J27" i="6"/>
  <c r="J25" i="6"/>
  <c r="J19" i="6"/>
  <c r="J20" i="6"/>
  <c r="J21" i="6"/>
  <c r="J22" i="6"/>
  <c r="J16" i="6"/>
  <c r="J15" i="6"/>
  <c r="J10" i="6"/>
  <c r="J6" i="6"/>
  <c r="J7" i="6"/>
  <c r="J8" i="6"/>
  <c r="M8" i="6" s="1"/>
  <c r="J5" i="6"/>
  <c r="I12" i="6"/>
  <c r="H12" i="6"/>
  <c r="F12" i="6"/>
  <c r="B12" i="6"/>
  <c r="F23" i="6"/>
  <c r="C23" i="6"/>
  <c r="D23" i="6"/>
  <c r="E23" i="6"/>
  <c r="H23" i="6"/>
  <c r="I23" i="6"/>
  <c r="K23" i="6"/>
  <c r="L23" i="6"/>
  <c r="B23" i="6"/>
  <c r="H28" i="6"/>
  <c r="F28" i="6"/>
  <c r="B28" i="6"/>
  <c r="G11" i="6"/>
  <c r="M11" i="6" s="1"/>
  <c r="G10" i="6"/>
  <c r="G9" i="6"/>
  <c r="M9" i="6" s="1"/>
  <c r="G7" i="6"/>
  <c r="M7" i="6" s="1"/>
  <c r="G6" i="6"/>
  <c r="G5" i="6"/>
  <c r="K28" i="6"/>
  <c r="G27" i="6"/>
  <c r="G26" i="6"/>
  <c r="G25" i="6"/>
  <c r="G22" i="6"/>
  <c r="G21" i="6"/>
  <c r="G20" i="6"/>
  <c r="G19" i="6"/>
  <c r="G18" i="6"/>
  <c r="M18" i="6" s="1"/>
  <c r="G17" i="6"/>
  <c r="M17" i="6" s="1"/>
  <c r="G16" i="6"/>
  <c r="G15" i="6"/>
  <c r="M15" i="6" s="1"/>
  <c r="I28" i="6"/>
  <c r="D28" i="6"/>
  <c r="C12" i="6"/>
  <c r="D12" i="6"/>
  <c r="N23" i="6"/>
  <c r="N27" i="6"/>
  <c r="G3" i="2"/>
  <c r="G4" i="2"/>
  <c r="H4" i="2" s="1"/>
  <c r="I4" i="2" s="1"/>
  <c r="G5" i="2"/>
  <c r="H5" i="2" s="1"/>
  <c r="I5" i="2" s="1"/>
  <c r="G6" i="2"/>
  <c r="H6" i="2" s="1"/>
  <c r="I6" i="2" s="1"/>
  <c r="G7" i="2"/>
  <c r="H7" i="2"/>
  <c r="I7" i="2" s="1"/>
  <c r="G8" i="2"/>
  <c r="H8" i="2" s="1"/>
  <c r="I8" i="2" s="1"/>
  <c r="G9" i="2"/>
  <c r="H9" i="2" s="1"/>
  <c r="I9" i="2" s="1"/>
  <c r="G13" i="2"/>
  <c r="G14" i="2"/>
  <c r="H14" i="2" s="1"/>
  <c r="I14" i="2" s="1"/>
  <c r="G15" i="2"/>
  <c r="H15" i="2" s="1"/>
  <c r="I15" i="2" s="1"/>
  <c r="G16" i="2"/>
  <c r="H16" i="2" s="1"/>
  <c r="I16" i="2" s="1"/>
  <c r="G17" i="2"/>
  <c r="H17" i="2"/>
  <c r="I17" i="2" s="1"/>
  <c r="G18" i="2"/>
  <c r="H18" i="2" s="1"/>
  <c r="I18" i="2" s="1"/>
  <c r="G19" i="2"/>
  <c r="H19" i="2" s="1"/>
  <c r="I19" i="2" s="1"/>
  <c r="G20" i="2"/>
  <c r="H20" i="2" s="1"/>
  <c r="I20" i="2" s="1"/>
  <c r="G21" i="2"/>
  <c r="H21" i="2"/>
  <c r="I21" i="2" s="1"/>
  <c r="G22" i="2"/>
  <c r="H22" i="2" s="1"/>
  <c r="I22" i="2" s="1"/>
  <c r="E14" i="2"/>
  <c r="E15" i="2"/>
  <c r="E16" i="2"/>
  <c r="E17" i="2"/>
  <c r="E18" i="2"/>
  <c r="E19" i="2"/>
  <c r="E20" i="2"/>
  <c r="E21" i="2"/>
  <c r="E22" i="2"/>
  <c r="E4" i="2"/>
  <c r="E5" i="2"/>
  <c r="E3" i="2"/>
  <c r="E6" i="2"/>
  <c r="E7" i="2"/>
  <c r="E8" i="2"/>
  <c r="E9" i="2"/>
  <c r="L12" i="6"/>
  <c r="E12" i="6"/>
  <c r="K12" i="6"/>
  <c r="K29" i="6" s="1"/>
  <c r="E35" i="3" s="1"/>
  <c r="F35" i="3" s="1"/>
  <c r="D23" i="2"/>
  <c r="D10" i="2"/>
  <c r="D24" i="2" s="1"/>
  <c r="G23" i="2"/>
  <c r="M6" i="6"/>
  <c r="E23" i="2"/>
  <c r="E28" i="2" s="1"/>
  <c r="M16" i="6" l="1"/>
  <c r="M20" i="6"/>
  <c r="M26" i="6"/>
  <c r="C29" i="6"/>
  <c r="E19" i="3" s="1"/>
  <c r="F19" i="3" s="1"/>
  <c r="F29" i="6"/>
  <c r="E36" i="3" s="1"/>
  <c r="F36" i="3" s="1"/>
  <c r="M21" i="6"/>
  <c r="M27" i="6"/>
  <c r="H29" i="6"/>
  <c r="E38" i="3" s="1"/>
  <c r="F38" i="3" s="1"/>
  <c r="B29" i="6"/>
  <c r="E12" i="3" s="1"/>
  <c r="F12" i="3" s="1"/>
  <c r="F13" i="3" s="1"/>
  <c r="J28" i="6"/>
  <c r="L29" i="6"/>
  <c r="E41" i="3" s="1"/>
  <c r="F41" i="3" s="1"/>
  <c r="N29" i="6"/>
  <c r="C12" i="4" s="1"/>
  <c r="C13" i="4" s="1"/>
  <c r="M25" i="6"/>
  <c r="D12" i="4"/>
  <c r="D13" i="4" s="1"/>
  <c r="E29" i="6"/>
  <c r="E34" i="3" s="1"/>
  <c r="F34" i="3" s="1"/>
  <c r="D29" i="6"/>
  <c r="E20" i="3" s="1"/>
  <c r="F20" i="3" s="1"/>
  <c r="I29" i="6"/>
  <c r="E50" i="3" s="1"/>
  <c r="M22" i="6"/>
  <c r="M10" i="6"/>
  <c r="J12" i="6"/>
  <c r="M19" i="6"/>
  <c r="I23" i="2"/>
  <c r="D48" i="3" s="1"/>
  <c r="G12" i="6"/>
  <c r="M5" i="6"/>
  <c r="G23" i="6"/>
  <c r="H23" i="2"/>
  <c r="E10" i="2"/>
  <c r="H3" i="2"/>
  <c r="G10" i="2"/>
  <c r="G24" i="2" s="1"/>
  <c r="G28" i="6"/>
  <c r="J23" i="6"/>
  <c r="M28" i="6" l="1"/>
  <c r="E13" i="3"/>
  <c r="F46" i="3"/>
  <c r="J29" i="6"/>
  <c r="M12" i="6"/>
  <c r="M23" i="6"/>
  <c r="E46" i="3"/>
  <c r="F50" i="3"/>
  <c r="E52" i="3"/>
  <c r="F52" i="3" s="1"/>
  <c r="E51" i="3"/>
  <c r="F48" i="3"/>
  <c r="I3" i="2"/>
  <c r="I10" i="2" s="1"/>
  <c r="B48" i="3" s="1"/>
  <c r="H10" i="2"/>
  <c r="H24" i="2" s="1"/>
  <c r="E27" i="2"/>
  <c r="E29" i="2" s="1"/>
  <c r="E24" i="2"/>
  <c r="I28" i="2"/>
  <c r="D49" i="3" s="1"/>
  <c r="G29" i="6"/>
  <c r="E55" i="3" s="1"/>
  <c r="F55" i="3" s="1"/>
  <c r="M29" i="6" l="1"/>
  <c r="F51" i="3"/>
  <c r="E53" i="3"/>
  <c r="E56" i="3" s="1"/>
  <c r="D53" i="3"/>
  <c r="D56" i="3" s="1"/>
  <c r="I27" i="2"/>
  <c r="B49" i="3" s="1"/>
  <c r="B53" i="3" s="1"/>
  <c r="B56" i="3" s="1"/>
  <c r="B15" i="4" s="1"/>
  <c r="I24" i="2"/>
  <c r="C15" i="4" l="1"/>
  <c r="C19" i="4" s="1"/>
  <c r="B19" i="4"/>
  <c r="F49" i="3"/>
  <c r="F53" i="3" s="1"/>
  <c r="F56" i="3" s="1"/>
  <c r="I29" i="2"/>
  <c r="D15" i="4" l="1"/>
  <c r="D19" i="4" s="1"/>
</calcChain>
</file>

<file path=xl/sharedStrings.xml><?xml version="1.0" encoding="utf-8"?>
<sst xmlns="http://schemas.openxmlformats.org/spreadsheetml/2006/main" count="173" uniqueCount="157">
  <si>
    <t>Bevételek terve</t>
  </si>
  <si>
    <t>adatok ezer Ft-ban</t>
  </si>
  <si>
    <t>Megnevezés</t>
  </si>
  <si>
    <t>Róth Miksa Emlékház</t>
  </si>
  <si>
    <t>Közösségi Ház</t>
  </si>
  <si>
    <t>Nonprofit Kft. Összesen</t>
  </si>
  <si>
    <t>Jegybevételek</t>
  </si>
  <si>
    <t>Bérleti díjak</t>
  </si>
  <si>
    <t xml:space="preserve">   állandó bérlők</t>
  </si>
  <si>
    <t xml:space="preserve">   eseti bérlők</t>
  </si>
  <si>
    <t>Tanfolyamok bevétele</t>
  </si>
  <si>
    <t>Áru értékesítés bevétele</t>
  </si>
  <si>
    <t>Fizetendő ÁFA</t>
  </si>
  <si>
    <t>Új rendezvények bevétele</t>
  </si>
  <si>
    <t>Saját bevételek összesen:</t>
  </si>
  <si>
    <t>Közszolgáltatási támogatás</t>
  </si>
  <si>
    <t>Ebből már megszavazott 2013. I. negyedévre</t>
  </si>
  <si>
    <t>2013. évre fennmaradó támogatás</t>
  </si>
  <si>
    <t>Bevételek összesen</t>
  </si>
  <si>
    <t>Költségek és beruházások terve</t>
  </si>
  <si>
    <t>Költségek megnevezése</t>
  </si>
  <si>
    <t>Róth Miksa Emlékház üzleti terve</t>
  </si>
  <si>
    <t>Róth Miksa szakmai program terve</t>
  </si>
  <si>
    <t>Közösségi Ház üzleti terve</t>
  </si>
  <si>
    <t>Közösségi Ház szakmai program terve</t>
  </si>
  <si>
    <t>Irodaszer, nyomtatvány</t>
  </si>
  <si>
    <t>Könyv, folyóirat beszerzés</t>
  </si>
  <si>
    <t>Szakmai anyagok beszerzése</t>
  </si>
  <si>
    <t>Kisértékű tárgyi eszközök</t>
  </si>
  <si>
    <t>Karbantartási anyag</t>
  </si>
  <si>
    <t>Tisztítószer</t>
  </si>
  <si>
    <t>Egészségügyi csomag</t>
  </si>
  <si>
    <t>Egyéb anyagköltség</t>
  </si>
  <si>
    <t>Anyagköltség összesen:</t>
  </si>
  <si>
    <t>Telefonköltség</t>
  </si>
  <si>
    <t>Internet előfizetés</t>
  </si>
  <si>
    <t>Web oldal fenntartás</t>
  </si>
  <si>
    <t>Szoftver követési díj</t>
  </si>
  <si>
    <t>Szállítás</t>
  </si>
  <si>
    <t>Gázenergia</t>
  </si>
  <si>
    <t>Villamos energia</t>
  </si>
  <si>
    <t>Víz és csatornadíj</t>
  </si>
  <si>
    <t>Épület karbantartási költségek</t>
  </si>
  <si>
    <t>Gép karbantartási költségek</t>
  </si>
  <si>
    <t>Lift karbantartás, ellenőrzés</t>
  </si>
  <si>
    <t>Tűzoltókészülék ellenőrzés</t>
  </si>
  <si>
    <t>Hulladékszállítás</t>
  </si>
  <si>
    <t>Kéményseprés</t>
  </si>
  <si>
    <t>Mosatás</t>
  </si>
  <si>
    <t>Takarítás</t>
  </si>
  <si>
    <t>Őrzés, védelem</t>
  </si>
  <si>
    <t>Telefon alközpont szolgáltatás</t>
  </si>
  <si>
    <t>Postaköltség</t>
  </si>
  <si>
    <t>Reklám, propaganda</t>
  </si>
  <si>
    <t>Kultúrális szolgáltatás</t>
  </si>
  <si>
    <t>Foglalkozás egészségügyi szolgáltatás</t>
  </si>
  <si>
    <t>Rendezvények költségei</t>
  </si>
  <si>
    <t>Tűz és munkavédelem</t>
  </si>
  <si>
    <t>Szakmai szolgáltatás (restaurálás)</t>
  </si>
  <si>
    <t>Jogdíjak</t>
  </si>
  <si>
    <t>Biztosítási díj</t>
  </si>
  <si>
    <t>Bankköltség</t>
  </si>
  <si>
    <t>Könyvelési dj</t>
  </si>
  <si>
    <t>Könyvvizsgálói díj</t>
  </si>
  <si>
    <t>Szolgáltatások összesen:</t>
  </si>
  <si>
    <t>Munkabérek</t>
  </si>
  <si>
    <t>Munkabérek közterhei</t>
  </si>
  <si>
    <t>Reprezentáció</t>
  </si>
  <si>
    <t>Munkáltatói SZJA</t>
  </si>
  <si>
    <t>EHO</t>
  </si>
  <si>
    <t>Személyi költségek összesen:</t>
  </si>
  <si>
    <t>Le nem vonható ÁFA</t>
  </si>
  <si>
    <t>Költségek és ráfordítások összesen:</t>
  </si>
  <si>
    <t>adatok Ft-ban</t>
  </si>
  <si>
    <t>Munkabérek és egyéb juttatások terve</t>
  </si>
  <si>
    <t>Munkavállaló neve</t>
  </si>
  <si>
    <t>Beosztása</t>
  </si>
  <si>
    <t xml:space="preserve">Besorolási bére </t>
  </si>
  <si>
    <t>Éves bruttó bér</t>
  </si>
  <si>
    <t>Bérfejl.</t>
  </si>
  <si>
    <t>Bérfejlesztés havi összege</t>
  </si>
  <si>
    <t>2013. évi havi bér</t>
  </si>
  <si>
    <t>2013. évi bér</t>
  </si>
  <si>
    <t xml:space="preserve">Fényi Tibor </t>
  </si>
  <si>
    <t>igazgató helyettes</t>
  </si>
  <si>
    <t>Szitás Mártonné</t>
  </si>
  <si>
    <t>ügyintéző</t>
  </si>
  <si>
    <t>Magyar András</t>
  </si>
  <si>
    <t>gondnok</t>
  </si>
  <si>
    <t>Pataki Veronika</t>
  </si>
  <si>
    <t>teremőr</t>
  </si>
  <si>
    <t>Németh Jolán</t>
  </si>
  <si>
    <t>Maros Ágnes</t>
  </si>
  <si>
    <t>Rózsa Ildikó</t>
  </si>
  <si>
    <t>takarító</t>
  </si>
  <si>
    <t>Róth Miksa Emlékház összesen:</t>
  </si>
  <si>
    <t>Besorolási bére</t>
  </si>
  <si>
    <t>Váczi András</t>
  </si>
  <si>
    <t>művelődésszervező</t>
  </si>
  <si>
    <t>Borbás Éva</t>
  </si>
  <si>
    <t>adminisztrátor</t>
  </si>
  <si>
    <t>Közmér Katalin</t>
  </si>
  <si>
    <t>gazd. ügyintéző</t>
  </si>
  <si>
    <t>Lipcseiné Horváth Ágnes</t>
  </si>
  <si>
    <t>Őze Ferenc</t>
  </si>
  <si>
    <t>hangtechnikus</t>
  </si>
  <si>
    <t>Falk Szilvia</t>
  </si>
  <si>
    <t>kisegítő</t>
  </si>
  <si>
    <t>Bíró Éva</t>
  </si>
  <si>
    <t>Hamvas Levente Péter</t>
  </si>
  <si>
    <t>ügyvezető ig.</t>
  </si>
  <si>
    <t>Pesti Márk</t>
  </si>
  <si>
    <t>Közösségi Ház összesen:</t>
  </si>
  <si>
    <t>Nonprofit Kft összesen:</t>
  </si>
  <si>
    <t>Bérek utáni járulékok terve</t>
  </si>
  <si>
    <t>Szakmai programok terve</t>
  </si>
  <si>
    <r>
      <t> </t>
    </r>
    <r>
      <rPr>
        <b/>
        <sz val="10"/>
        <rFont val="Times New Roman"/>
        <family val="1"/>
        <charset val="238"/>
      </rPr>
      <t>Megnevezés</t>
    </r>
  </si>
  <si>
    <t> anyag</t>
  </si>
  <si>
    <r>
      <t>Bérl. díj.</t>
    </r>
    <r>
      <rPr>
        <sz val="10"/>
        <rFont val="Times New Roman"/>
        <family val="1"/>
        <charset val="238"/>
      </rPr>
      <t> </t>
    </r>
  </si>
  <si>
    <r>
      <t>szállítás</t>
    </r>
    <r>
      <rPr>
        <sz val="10"/>
        <rFont val="Times New Roman"/>
        <family val="1"/>
        <charset val="238"/>
      </rPr>
      <t> </t>
    </r>
  </si>
  <si>
    <r>
      <t> </t>
    </r>
    <r>
      <rPr>
        <b/>
        <sz val="10"/>
        <rFont val="Times New Roman"/>
        <family val="1"/>
        <charset val="238"/>
      </rPr>
      <t>posta</t>
    </r>
  </si>
  <si>
    <r>
      <t>Kult. szolg.</t>
    </r>
    <r>
      <rPr>
        <sz val="10"/>
        <rFont val="Times New Roman"/>
        <family val="1"/>
        <charset val="238"/>
      </rPr>
      <t> </t>
    </r>
  </si>
  <si>
    <r>
      <t> </t>
    </r>
    <r>
      <rPr>
        <b/>
        <sz val="10"/>
        <rFont val="Times New Roman"/>
        <family val="1"/>
        <charset val="238"/>
      </rPr>
      <t>áfa</t>
    </r>
  </si>
  <si>
    <r>
      <t> </t>
    </r>
    <r>
      <rPr>
        <b/>
        <sz val="10"/>
        <rFont val="Times New Roman"/>
        <family val="1"/>
        <charset val="238"/>
      </rPr>
      <t>Szell.tev.</t>
    </r>
  </si>
  <si>
    <t>Repr.</t>
  </si>
  <si>
    <t>Repi adója</t>
  </si>
  <si>
    <t>reklám </t>
  </si>
  <si>
    <r>
      <t> </t>
    </r>
    <r>
      <rPr>
        <b/>
        <sz val="10"/>
        <rFont val="Times New Roman"/>
        <family val="1"/>
        <charset val="238"/>
      </rPr>
      <t>jogdíj</t>
    </r>
  </si>
  <si>
    <r>
      <t> </t>
    </r>
    <r>
      <rPr>
        <b/>
        <sz val="10"/>
        <rFont val="Times New Roman"/>
        <family val="1"/>
        <charset val="238"/>
      </rPr>
      <t>kiadás</t>
    </r>
  </si>
  <si>
    <r>
      <t> </t>
    </r>
    <r>
      <rPr>
        <b/>
        <sz val="10"/>
        <rFont val="Times New Roman"/>
        <family val="1"/>
        <charset val="238"/>
      </rPr>
      <t>bevétel</t>
    </r>
  </si>
  <si>
    <t>Ünnepekhez kötődő rendezvények</t>
  </si>
  <si>
    <t>Farsangi bál 2 nap (óvodás, iskolás)</t>
  </si>
  <si>
    <t>Megemlékezés március 15-én</t>
  </si>
  <si>
    <t>Ünnepi rendezvények összesen:</t>
  </si>
  <si>
    <t>Egyéb rendezvények</t>
  </si>
  <si>
    <t>Koncert Weöres Sándor versei</t>
  </si>
  <si>
    <t>Egyéb rendezvények összesen:</t>
  </si>
  <si>
    <t>Napközis tábor</t>
  </si>
  <si>
    <t>Szakmai programok összesen:</t>
  </si>
  <si>
    <t>Fergeteges Farsangi Forgatag</t>
  </si>
  <si>
    <t>Magyar Kultúra Napja</t>
  </si>
  <si>
    <t>Nőnap</t>
  </si>
  <si>
    <t>Tavaszi Zsongás Koncert</t>
  </si>
  <si>
    <t>Költészet Napja</t>
  </si>
  <si>
    <t>Márai Klub</t>
  </si>
  <si>
    <t>Magyar Tudomány Napja</t>
  </si>
  <si>
    <t>Idősek Világnapja</t>
  </si>
  <si>
    <t>Betlehem készítő verseny</t>
  </si>
  <si>
    <t>Ki? Mit? Tud?</t>
  </si>
  <si>
    <t>Mikulás</t>
  </si>
  <si>
    <t>Adventi játszóház</t>
  </si>
  <si>
    <t>Kiállítások</t>
  </si>
  <si>
    <t>Irodalmi estek</t>
  </si>
  <si>
    <t>Táborok, estek ,kiállítások összesen:</t>
  </si>
  <si>
    <t>Doszpoly Eszter</t>
  </si>
  <si>
    <t>kulturális szervező</t>
  </si>
  <si>
    <t>kulturális vezető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</si>
</sst>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indexed="8"/>
      <name val="Calibri"/>
      <family val="2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Calibri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b/>
      <sz val="14"/>
      <color indexed="8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 wrapText="1"/>
    </xf>
    <xf numFmtId="0" fontId="1" fillId="0" borderId="0" xfId="0" applyFont="1"/>
    <xf numFmtId="0" fontId="2" fillId="0" borderId="1" xfId="0" applyFont="1" applyBorder="1"/>
    <xf numFmtId="3" fontId="2" fillId="0" borderId="1" xfId="0" applyNumberFormat="1" applyFont="1" applyBorder="1"/>
    <xf numFmtId="0" fontId="2" fillId="0" borderId="0" xfId="0" applyFont="1"/>
    <xf numFmtId="3" fontId="2" fillId="0" borderId="0" xfId="0" applyNumberFormat="1" applyFont="1"/>
    <xf numFmtId="0" fontId="1" fillId="0" borderId="1" xfId="0" applyFont="1" applyBorder="1" applyAlignment="1">
      <alignment wrapText="1"/>
    </xf>
    <xf numFmtId="3" fontId="1" fillId="0" borderId="1" xfId="0" applyNumberFormat="1" applyFont="1" applyBorder="1"/>
    <xf numFmtId="3" fontId="1" fillId="0" borderId="2" xfId="0" applyNumberFormat="1" applyFont="1" applyBorder="1"/>
    <xf numFmtId="9" fontId="2" fillId="0" borderId="1" xfId="0" applyNumberFormat="1" applyFont="1" applyBorder="1"/>
    <xf numFmtId="0" fontId="1" fillId="0" borderId="1" xfId="0" applyFont="1" applyBorder="1" applyAlignment="1"/>
    <xf numFmtId="3" fontId="3" fillId="0" borderId="0" xfId="0" applyNumberFormat="1" applyFont="1"/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3" fillId="0" borderId="0" xfId="0" applyFont="1" applyFill="1"/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3" fontId="8" fillId="0" borderId="1" xfId="0" applyNumberFormat="1" applyFont="1" applyFill="1" applyBorder="1" applyAlignment="1">
      <alignment horizontal="right"/>
    </xf>
    <xf numFmtId="3" fontId="1" fillId="0" borderId="0" xfId="0" applyNumberFormat="1" applyFont="1"/>
    <xf numFmtId="0" fontId="1" fillId="0" borderId="0" xfId="0" applyFont="1" applyFill="1"/>
    <xf numFmtId="0" fontId="7" fillId="0" borderId="1" xfId="0" applyFont="1" applyFill="1" applyBorder="1" applyAlignment="1">
      <alignment horizontal="left"/>
    </xf>
    <xf numFmtId="3" fontId="7" fillId="0" borderId="1" xfId="0" applyNumberFormat="1" applyFont="1" applyFill="1" applyBorder="1" applyAlignment="1">
      <alignment horizontal="right"/>
    </xf>
    <xf numFmtId="0" fontId="2" fillId="0" borderId="0" xfId="0" applyFont="1" applyFill="1"/>
    <xf numFmtId="0" fontId="7" fillId="0" borderId="1" xfId="0" applyFont="1" applyFill="1" applyBorder="1" applyAlignment="1">
      <alignment horizontal="right"/>
    </xf>
    <xf numFmtId="3" fontId="7" fillId="0" borderId="1" xfId="0" applyNumberFormat="1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7" fillId="0" borderId="1" xfId="0" applyFont="1" applyFill="1" applyBorder="1" applyAlignment="1"/>
    <xf numFmtId="3" fontId="7" fillId="0" borderId="1" xfId="0" applyNumberFormat="1" applyFont="1" applyFill="1" applyBorder="1" applyAlignment="1"/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topLeftCell="A3" workbookViewId="0">
      <selection activeCell="F18" sqref="F18"/>
    </sheetView>
  </sheetViews>
  <sheetFormatPr defaultRowHeight="15" x14ac:dyDescent="0.25"/>
  <cols>
    <col min="1" max="1" width="45.5703125" style="15" customWidth="1"/>
    <col min="2" max="2" width="20" style="15" customWidth="1"/>
    <col min="3" max="3" width="17.7109375" style="15" customWidth="1"/>
    <col min="4" max="4" width="15.5703125" style="15" customWidth="1"/>
    <col min="5" max="16384" width="9.140625" style="15"/>
  </cols>
  <sheetData>
    <row r="1" spans="1:5" ht="18.75" x14ac:dyDescent="0.3">
      <c r="A1" s="36" t="s">
        <v>0</v>
      </c>
      <c r="B1" s="37"/>
      <c r="C1" s="37"/>
      <c r="D1" s="7"/>
      <c r="E1" s="7"/>
    </row>
    <row r="2" spans="1:5" x14ac:dyDescent="0.25">
      <c r="A2" s="7"/>
      <c r="B2" s="7"/>
      <c r="C2" s="7" t="s">
        <v>1</v>
      </c>
      <c r="D2" s="7"/>
      <c r="E2" s="7"/>
    </row>
    <row r="3" spans="1:5" ht="29.25" x14ac:dyDescent="0.25">
      <c r="A3" s="1" t="s">
        <v>2</v>
      </c>
      <c r="B3" s="17" t="s">
        <v>3</v>
      </c>
      <c r="C3" s="17" t="s">
        <v>4</v>
      </c>
      <c r="D3" s="17" t="s">
        <v>5</v>
      </c>
      <c r="E3" s="7"/>
    </row>
    <row r="4" spans="1:5" x14ac:dyDescent="0.25">
      <c r="A4" s="1"/>
      <c r="B4" s="5"/>
      <c r="C4" s="5"/>
      <c r="D4" s="5"/>
      <c r="E4" s="7"/>
    </row>
    <row r="5" spans="1:5" x14ac:dyDescent="0.25">
      <c r="A5" s="5" t="s">
        <v>6</v>
      </c>
      <c r="B5" s="6">
        <v>685</v>
      </c>
      <c r="C5" s="6">
        <f>991+170</f>
        <v>1161</v>
      </c>
      <c r="D5" s="6">
        <f>SUM(B5:C5)</f>
        <v>1846</v>
      </c>
      <c r="E5" s="7"/>
    </row>
    <row r="6" spans="1:5" x14ac:dyDescent="0.25">
      <c r="A6" s="5" t="s">
        <v>7</v>
      </c>
      <c r="B6" s="6"/>
      <c r="C6" s="6"/>
      <c r="D6" s="6"/>
      <c r="E6" s="7"/>
    </row>
    <row r="7" spans="1:5" x14ac:dyDescent="0.25">
      <c r="A7" s="5" t="s">
        <v>8</v>
      </c>
      <c r="B7" s="6"/>
      <c r="C7" s="6">
        <v>2862</v>
      </c>
      <c r="D7" s="6">
        <f t="shared" ref="D7:D12" si="0">SUM(B7:C7)</f>
        <v>2862</v>
      </c>
      <c r="E7" s="7"/>
    </row>
    <row r="8" spans="1:5" x14ac:dyDescent="0.25">
      <c r="A8" s="5" t="s">
        <v>9</v>
      </c>
      <c r="B8" s="6"/>
      <c r="C8" s="6">
        <v>3550</v>
      </c>
      <c r="D8" s="6">
        <f t="shared" si="0"/>
        <v>3550</v>
      </c>
      <c r="E8" s="7"/>
    </row>
    <row r="9" spans="1:5" x14ac:dyDescent="0.25">
      <c r="A9" s="5" t="s">
        <v>10</v>
      </c>
      <c r="B9" s="6"/>
      <c r="C9" s="6">
        <v>630</v>
      </c>
      <c r="D9" s="6">
        <f t="shared" si="0"/>
        <v>630</v>
      </c>
      <c r="E9" s="7"/>
    </row>
    <row r="10" spans="1:5" x14ac:dyDescent="0.25">
      <c r="A10" s="5" t="s">
        <v>11</v>
      </c>
      <c r="B10" s="6">
        <v>162</v>
      </c>
      <c r="C10" s="6"/>
      <c r="D10" s="6">
        <f t="shared" si="0"/>
        <v>162</v>
      </c>
      <c r="E10" s="7"/>
    </row>
    <row r="11" spans="1:5" x14ac:dyDescent="0.25">
      <c r="A11" s="5" t="s">
        <v>12</v>
      </c>
      <c r="B11" s="6">
        <v>228</v>
      </c>
      <c r="C11" s="6">
        <f>+C5*0.27</f>
        <v>313.47000000000003</v>
      </c>
      <c r="D11" s="6">
        <f t="shared" si="0"/>
        <v>541.47</v>
      </c>
      <c r="E11" s="7"/>
    </row>
    <row r="12" spans="1:5" x14ac:dyDescent="0.25">
      <c r="A12" s="5" t="s">
        <v>13</v>
      </c>
      <c r="B12" s="6"/>
      <c r="C12" s="6">
        <f>+'Szakmai program'!N29/1000</f>
        <v>1043</v>
      </c>
      <c r="D12" s="6">
        <f t="shared" si="0"/>
        <v>1043</v>
      </c>
      <c r="E12" s="7"/>
    </row>
    <row r="13" spans="1:5" s="16" customFormat="1" ht="14.25" x14ac:dyDescent="0.2">
      <c r="A13" s="1" t="s">
        <v>14</v>
      </c>
      <c r="B13" s="10">
        <f>SUM(B5:B12)</f>
        <v>1075</v>
      </c>
      <c r="C13" s="10">
        <f>SUM(C5:C12)</f>
        <v>9559.4699999999993</v>
      </c>
      <c r="D13" s="10">
        <f>SUM(D5:D12)</f>
        <v>10634.47</v>
      </c>
      <c r="E13" s="4"/>
    </row>
    <row r="14" spans="1:5" x14ac:dyDescent="0.25">
      <c r="A14" s="1"/>
      <c r="B14" s="5"/>
      <c r="C14" s="5"/>
      <c r="D14" s="5"/>
      <c r="E14" s="7"/>
    </row>
    <row r="15" spans="1:5" s="4" customFormat="1" ht="14.25" x14ac:dyDescent="0.2">
      <c r="A15" s="1" t="s">
        <v>15</v>
      </c>
      <c r="B15" s="10">
        <f>+Költségek!B56-Bevételek!B13+Költségek!C56</f>
        <v>21727.003339999999</v>
      </c>
      <c r="C15" s="10">
        <f>+Költségek!D56-Bevételek!C13+Költségek!E56</f>
        <v>72272.799192999999</v>
      </c>
      <c r="D15" s="10">
        <f>SUM(B15:C15)</f>
        <v>93999.802532999995</v>
      </c>
      <c r="E15" s="24"/>
    </row>
    <row r="16" spans="1:5" x14ac:dyDescent="0.25">
      <c r="A16" s="5" t="s">
        <v>16</v>
      </c>
      <c r="B16" s="5"/>
      <c r="C16" s="5"/>
      <c r="D16" s="6">
        <v>17561</v>
      </c>
      <c r="E16" s="7"/>
    </row>
    <row r="17" spans="1:4" x14ac:dyDescent="0.25">
      <c r="A17" s="5" t="s">
        <v>17</v>
      </c>
      <c r="B17" s="5"/>
      <c r="C17" s="5"/>
      <c r="D17" s="6">
        <f>SUM(D15,-D16)</f>
        <v>76438.802532999995</v>
      </c>
    </row>
    <row r="18" spans="1:4" x14ac:dyDescent="0.25">
      <c r="A18" s="5"/>
      <c r="B18" s="5"/>
      <c r="C18" s="5"/>
      <c r="D18" s="6"/>
    </row>
    <row r="19" spans="1:4" s="16" customFormat="1" ht="14.25" x14ac:dyDescent="0.2">
      <c r="A19" s="1" t="s">
        <v>18</v>
      </c>
      <c r="B19" s="10">
        <f>+B13+B15</f>
        <v>22802.003339999999</v>
      </c>
      <c r="C19" s="10">
        <f>+C13+C15</f>
        <v>81832.269193</v>
      </c>
      <c r="D19" s="10">
        <f>+D13+D15</f>
        <v>104634.272533</v>
      </c>
    </row>
  </sheetData>
  <mergeCells count="1">
    <mergeCell ref="A1:C1"/>
  </mergeCells>
  <phoneticPr fontId="11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opLeftCell="A35" zoomScaleNormal="100" workbookViewId="0">
      <selection activeCell="F48" sqref="F48"/>
    </sheetView>
  </sheetViews>
  <sheetFormatPr defaultRowHeight="15" x14ac:dyDescent="0.25"/>
  <cols>
    <col min="1" max="1" width="42" style="15" customWidth="1"/>
    <col min="2" max="5" width="14.7109375" style="14" customWidth="1"/>
    <col min="6" max="16384" width="9.140625" style="15"/>
  </cols>
  <sheetData>
    <row r="1" spans="1:6" ht="18.75" x14ac:dyDescent="0.3">
      <c r="A1" s="38" t="s">
        <v>19</v>
      </c>
      <c r="B1" s="39"/>
      <c r="C1" s="39"/>
      <c r="D1" s="39"/>
      <c r="E1" s="40"/>
    </row>
    <row r="2" spans="1:6" x14ac:dyDescent="0.25">
      <c r="A2" s="7"/>
      <c r="B2" s="8"/>
      <c r="C2" s="8"/>
      <c r="D2" s="8" t="s">
        <v>1</v>
      </c>
      <c r="E2" s="8"/>
    </row>
    <row r="3" spans="1:6" ht="59.25" customHeight="1" x14ac:dyDescent="0.25">
      <c r="A3" s="13" t="s">
        <v>20</v>
      </c>
      <c r="B3" s="17" t="s">
        <v>21</v>
      </c>
      <c r="C3" s="17" t="s">
        <v>22</v>
      </c>
      <c r="D3" s="17" t="s">
        <v>23</v>
      </c>
      <c r="E3" s="17" t="s">
        <v>24</v>
      </c>
      <c r="F3" s="17" t="s">
        <v>5</v>
      </c>
    </row>
    <row r="4" spans="1:6" x14ac:dyDescent="0.25">
      <c r="A4" s="5"/>
      <c r="B4" s="6"/>
      <c r="C4" s="6"/>
      <c r="D4" s="6"/>
      <c r="E4" s="6"/>
      <c r="F4" s="5"/>
    </row>
    <row r="5" spans="1:6" x14ac:dyDescent="0.25">
      <c r="A5" s="5" t="s">
        <v>25</v>
      </c>
      <c r="B5" s="6">
        <v>44</v>
      </c>
      <c r="C5" s="6"/>
      <c r="D5" s="6">
        <v>500</v>
      </c>
      <c r="E5" s="6"/>
      <c r="F5" s="6">
        <f t="shared" ref="F5:F12" si="0">SUM(B5:E5)</f>
        <v>544</v>
      </c>
    </row>
    <row r="6" spans="1:6" x14ac:dyDescent="0.25">
      <c r="A6" s="5" t="s">
        <v>26</v>
      </c>
      <c r="B6" s="6">
        <v>20</v>
      </c>
      <c r="C6" s="6"/>
      <c r="D6" s="6"/>
      <c r="E6" s="6"/>
      <c r="F6" s="6">
        <f t="shared" si="0"/>
        <v>20</v>
      </c>
    </row>
    <row r="7" spans="1:6" x14ac:dyDescent="0.25">
      <c r="A7" s="5" t="s">
        <v>27</v>
      </c>
      <c r="B7" s="6">
        <v>5</v>
      </c>
      <c r="C7" s="6"/>
      <c r="D7" s="6">
        <v>240</v>
      </c>
      <c r="E7" s="6"/>
      <c r="F7" s="6">
        <f t="shared" si="0"/>
        <v>245</v>
      </c>
    </row>
    <row r="8" spans="1:6" x14ac:dyDescent="0.25">
      <c r="A8" s="5" t="s">
        <v>28</v>
      </c>
      <c r="B8" s="6">
        <v>80</v>
      </c>
      <c r="C8" s="6"/>
      <c r="D8" s="6">
        <v>400</v>
      </c>
      <c r="E8" s="6"/>
      <c r="F8" s="6">
        <f t="shared" si="0"/>
        <v>480</v>
      </c>
    </row>
    <row r="9" spans="1:6" x14ac:dyDescent="0.25">
      <c r="A9" s="5" t="s">
        <v>29</v>
      </c>
      <c r="B9" s="6">
        <v>36</v>
      </c>
      <c r="C9" s="6"/>
      <c r="D9" s="6">
        <v>80</v>
      </c>
      <c r="E9" s="6"/>
      <c r="F9" s="6">
        <f t="shared" si="0"/>
        <v>116</v>
      </c>
    </row>
    <row r="10" spans="1:6" x14ac:dyDescent="0.25">
      <c r="A10" s="5" t="s">
        <v>30</v>
      </c>
      <c r="B10" s="6">
        <v>44</v>
      </c>
      <c r="C10" s="6"/>
      <c r="D10" s="6">
        <v>150</v>
      </c>
      <c r="E10" s="6"/>
      <c r="F10" s="6">
        <f t="shared" si="0"/>
        <v>194</v>
      </c>
    </row>
    <row r="11" spans="1:6" x14ac:dyDescent="0.25">
      <c r="A11" s="5" t="s">
        <v>31</v>
      </c>
      <c r="B11" s="6">
        <v>28</v>
      </c>
      <c r="C11" s="6"/>
      <c r="D11" s="6"/>
      <c r="E11" s="6"/>
      <c r="F11" s="6">
        <f t="shared" si="0"/>
        <v>28</v>
      </c>
    </row>
    <row r="12" spans="1:6" x14ac:dyDescent="0.25">
      <c r="A12" s="5" t="s">
        <v>32</v>
      </c>
      <c r="B12" s="6">
        <v>33</v>
      </c>
      <c r="C12" s="6"/>
      <c r="D12" s="6">
        <v>260</v>
      </c>
      <c r="E12" s="6">
        <f>SUM('Szakmai program'!B29)/1000</f>
        <v>485</v>
      </c>
      <c r="F12" s="6">
        <f t="shared" si="0"/>
        <v>778</v>
      </c>
    </row>
    <row r="13" spans="1:6" s="16" customFormat="1" ht="14.25" x14ac:dyDescent="0.2">
      <c r="A13" s="1" t="s">
        <v>33</v>
      </c>
      <c r="B13" s="10">
        <f>SUM(B5:B12)</f>
        <v>290</v>
      </c>
      <c r="C13" s="10">
        <f>SUM(C5:C12)</f>
        <v>0</v>
      </c>
      <c r="D13" s="10">
        <f>SUM(D5:D12)</f>
        <v>1630</v>
      </c>
      <c r="E13" s="10">
        <f>SUM(E5:E12)</f>
        <v>485</v>
      </c>
      <c r="F13" s="10">
        <f>SUM(F5:F12)</f>
        <v>2405</v>
      </c>
    </row>
    <row r="14" spans="1:6" x14ac:dyDescent="0.25">
      <c r="A14" s="5"/>
      <c r="B14" s="6"/>
      <c r="C14" s="6"/>
      <c r="D14" s="6"/>
      <c r="E14" s="6"/>
      <c r="F14" s="6"/>
    </row>
    <row r="15" spans="1:6" x14ac:dyDescent="0.25">
      <c r="A15" s="5" t="s">
        <v>34</v>
      </c>
      <c r="B15" s="6">
        <v>132</v>
      </c>
      <c r="C15" s="6"/>
      <c r="D15" s="6">
        <v>660</v>
      </c>
      <c r="E15" s="6"/>
      <c r="F15" s="6">
        <f t="shared" ref="F15:F45" si="1">SUM(B15:E15)</f>
        <v>792</v>
      </c>
    </row>
    <row r="16" spans="1:6" x14ac:dyDescent="0.25">
      <c r="A16" s="5" t="s">
        <v>35</v>
      </c>
      <c r="B16" s="6">
        <v>152</v>
      </c>
      <c r="C16" s="6"/>
      <c r="D16" s="6">
        <v>275</v>
      </c>
      <c r="E16" s="6"/>
      <c r="F16" s="6">
        <f t="shared" si="1"/>
        <v>427</v>
      </c>
    </row>
    <row r="17" spans="1:6" x14ac:dyDescent="0.25">
      <c r="A17" s="5" t="s">
        <v>36</v>
      </c>
      <c r="B17" s="6"/>
      <c r="C17" s="6"/>
      <c r="D17" s="6">
        <v>2438</v>
      </c>
      <c r="E17" s="6"/>
      <c r="F17" s="6">
        <f t="shared" si="1"/>
        <v>2438</v>
      </c>
    </row>
    <row r="18" spans="1:6" x14ac:dyDescent="0.25">
      <c r="A18" s="5" t="s">
        <v>37</v>
      </c>
      <c r="B18" s="6"/>
      <c r="C18" s="6"/>
      <c r="D18" s="6">
        <v>15</v>
      </c>
      <c r="E18" s="6"/>
      <c r="F18" s="6">
        <f t="shared" si="1"/>
        <v>15</v>
      </c>
    </row>
    <row r="19" spans="1:6" x14ac:dyDescent="0.25">
      <c r="A19" s="5" t="s">
        <v>7</v>
      </c>
      <c r="B19" s="6"/>
      <c r="C19" s="6"/>
      <c r="D19" s="6">
        <v>72</v>
      </c>
      <c r="E19" s="6">
        <f>SUM('Szakmai program'!C29)/1000</f>
        <v>0</v>
      </c>
      <c r="F19" s="6">
        <f t="shared" si="1"/>
        <v>72</v>
      </c>
    </row>
    <row r="20" spans="1:6" x14ac:dyDescent="0.25">
      <c r="A20" s="5" t="s">
        <v>38</v>
      </c>
      <c r="B20" s="6">
        <v>20</v>
      </c>
      <c r="C20" s="6"/>
      <c r="D20" s="6">
        <v>120</v>
      </c>
      <c r="E20" s="6">
        <f>SUM('Szakmai program'!D29)/1000</f>
        <v>120</v>
      </c>
      <c r="F20" s="6">
        <f t="shared" si="1"/>
        <v>260</v>
      </c>
    </row>
    <row r="21" spans="1:6" x14ac:dyDescent="0.25">
      <c r="A21" s="5" t="s">
        <v>39</v>
      </c>
      <c r="B21" s="6">
        <v>1396</v>
      </c>
      <c r="C21" s="6"/>
      <c r="D21" s="6">
        <v>2000</v>
      </c>
      <c r="E21" s="6"/>
      <c r="F21" s="6">
        <f t="shared" si="1"/>
        <v>3396</v>
      </c>
    </row>
    <row r="22" spans="1:6" x14ac:dyDescent="0.25">
      <c r="A22" s="5" t="s">
        <v>40</v>
      </c>
      <c r="B22" s="6">
        <v>494</v>
      </c>
      <c r="C22" s="6"/>
      <c r="D22" s="6">
        <v>1800</v>
      </c>
      <c r="E22" s="6"/>
      <c r="F22" s="6">
        <f t="shared" si="1"/>
        <v>2294</v>
      </c>
    </row>
    <row r="23" spans="1:6" x14ac:dyDescent="0.25">
      <c r="A23" s="5" t="s">
        <v>41</v>
      </c>
      <c r="B23" s="6">
        <v>81</v>
      </c>
      <c r="C23" s="6"/>
      <c r="D23" s="6">
        <v>410</v>
      </c>
      <c r="E23" s="6"/>
      <c r="F23" s="6">
        <f t="shared" si="1"/>
        <v>491</v>
      </c>
    </row>
    <row r="24" spans="1:6" x14ac:dyDescent="0.25">
      <c r="A24" s="5" t="s">
        <v>42</v>
      </c>
      <c r="B24" s="6">
        <v>100</v>
      </c>
      <c r="C24" s="6"/>
      <c r="D24" s="6">
        <v>756</v>
      </c>
      <c r="E24" s="6"/>
      <c r="F24" s="6">
        <f t="shared" si="1"/>
        <v>856</v>
      </c>
    </row>
    <row r="25" spans="1:6" x14ac:dyDescent="0.25">
      <c r="A25" s="5" t="s">
        <v>43</v>
      </c>
      <c r="B25" s="6">
        <v>161</v>
      </c>
      <c r="C25" s="6"/>
      <c r="D25" s="6">
        <v>225</v>
      </c>
      <c r="E25" s="6"/>
      <c r="F25" s="6">
        <f t="shared" si="1"/>
        <v>386</v>
      </c>
    </row>
    <row r="26" spans="1:6" x14ac:dyDescent="0.25">
      <c r="A26" s="5" t="s">
        <v>44</v>
      </c>
      <c r="B26" s="6"/>
      <c r="C26" s="6"/>
      <c r="D26" s="6">
        <f>108+15</f>
        <v>123</v>
      </c>
      <c r="E26" s="6"/>
      <c r="F26" s="6">
        <f t="shared" si="1"/>
        <v>123</v>
      </c>
    </row>
    <row r="27" spans="1:6" x14ac:dyDescent="0.25">
      <c r="A27" s="5" t="s">
        <v>45</v>
      </c>
      <c r="B27" s="6"/>
      <c r="C27" s="6"/>
      <c r="D27" s="6">
        <v>12</v>
      </c>
      <c r="E27" s="6"/>
      <c r="F27" s="6">
        <f t="shared" si="1"/>
        <v>12</v>
      </c>
    </row>
    <row r="28" spans="1:6" x14ac:dyDescent="0.25">
      <c r="A28" s="5" t="s">
        <v>46</v>
      </c>
      <c r="B28" s="6">
        <v>68</v>
      </c>
      <c r="C28" s="6"/>
      <c r="D28" s="6">
        <v>407</v>
      </c>
      <c r="E28" s="6"/>
      <c r="F28" s="6">
        <f t="shared" si="1"/>
        <v>475</v>
      </c>
    </row>
    <row r="29" spans="1:6" x14ac:dyDescent="0.25">
      <c r="A29" s="5" t="s">
        <v>47</v>
      </c>
      <c r="B29" s="6">
        <v>5</v>
      </c>
      <c r="C29" s="6"/>
      <c r="D29" s="6">
        <v>45</v>
      </c>
      <c r="E29" s="6"/>
      <c r="F29" s="6">
        <f t="shared" si="1"/>
        <v>50</v>
      </c>
    </row>
    <row r="30" spans="1:6" x14ac:dyDescent="0.25">
      <c r="A30" s="5" t="s">
        <v>48</v>
      </c>
      <c r="B30" s="6"/>
      <c r="C30" s="6"/>
      <c r="D30" s="6">
        <v>200</v>
      </c>
      <c r="E30" s="6"/>
      <c r="F30" s="6">
        <f t="shared" si="1"/>
        <v>200</v>
      </c>
    </row>
    <row r="31" spans="1:6" x14ac:dyDescent="0.25">
      <c r="A31" s="5" t="s">
        <v>49</v>
      </c>
      <c r="B31" s="6"/>
      <c r="C31" s="6"/>
      <c r="D31" s="6">
        <v>2616</v>
      </c>
      <c r="E31" s="6"/>
      <c r="F31" s="6">
        <f t="shared" si="1"/>
        <v>2616</v>
      </c>
    </row>
    <row r="32" spans="1:6" x14ac:dyDescent="0.25">
      <c r="A32" s="5" t="s">
        <v>50</v>
      </c>
      <c r="B32" s="6"/>
      <c r="C32" s="6"/>
      <c r="D32" s="6">
        <v>5957</v>
      </c>
      <c r="E32" s="6"/>
      <c r="F32" s="6">
        <f t="shared" si="1"/>
        <v>5957</v>
      </c>
    </row>
    <row r="33" spans="1:6" x14ac:dyDescent="0.25">
      <c r="A33" s="5" t="s">
        <v>51</v>
      </c>
      <c r="B33" s="6"/>
      <c r="C33" s="6"/>
      <c r="D33" s="6">
        <v>400</v>
      </c>
      <c r="E33" s="6"/>
      <c r="F33" s="6">
        <f t="shared" si="1"/>
        <v>400</v>
      </c>
    </row>
    <row r="34" spans="1:6" x14ac:dyDescent="0.25">
      <c r="A34" s="5" t="s">
        <v>52</v>
      </c>
      <c r="B34" s="6">
        <v>3</v>
      </c>
      <c r="C34" s="6"/>
      <c r="D34" s="6">
        <v>150</v>
      </c>
      <c r="E34" s="6">
        <f>SUM('Szakmai program'!E29)/1000</f>
        <v>1</v>
      </c>
      <c r="F34" s="6">
        <f t="shared" si="1"/>
        <v>154</v>
      </c>
    </row>
    <row r="35" spans="1:6" x14ac:dyDescent="0.25">
      <c r="A35" s="5" t="s">
        <v>53</v>
      </c>
      <c r="B35" s="6">
        <v>100</v>
      </c>
      <c r="C35" s="6"/>
      <c r="D35" s="6">
        <v>1880</v>
      </c>
      <c r="E35" s="6">
        <f>SUM('Szakmai program'!K29)/1000</f>
        <v>50</v>
      </c>
      <c r="F35" s="6">
        <f t="shared" si="1"/>
        <v>2030</v>
      </c>
    </row>
    <row r="36" spans="1:6" x14ac:dyDescent="0.25">
      <c r="A36" s="5" t="s">
        <v>54</v>
      </c>
      <c r="B36" s="6"/>
      <c r="C36" s="6"/>
      <c r="D36" s="6"/>
      <c r="E36" s="6">
        <f>SUM('Szakmai program'!F29)/1000</f>
        <v>1410</v>
      </c>
      <c r="F36" s="6">
        <f t="shared" si="1"/>
        <v>1410</v>
      </c>
    </row>
    <row r="37" spans="1:6" x14ac:dyDescent="0.25">
      <c r="A37" s="5" t="s">
        <v>55</v>
      </c>
      <c r="B37" s="6">
        <v>25</v>
      </c>
      <c r="C37" s="6"/>
      <c r="D37" s="6">
        <v>45</v>
      </c>
      <c r="E37" s="6"/>
      <c r="F37" s="6">
        <f t="shared" si="1"/>
        <v>70</v>
      </c>
    </row>
    <row r="38" spans="1:6" x14ac:dyDescent="0.25">
      <c r="A38" s="5" t="s">
        <v>56</v>
      </c>
      <c r="B38" s="6"/>
      <c r="C38" s="6">
        <v>1080</v>
      </c>
      <c r="D38" s="6">
        <v>4771</v>
      </c>
      <c r="E38" s="6">
        <f>SUM('Szakmai program'!H29)/1000</f>
        <v>1970</v>
      </c>
      <c r="F38" s="6">
        <f t="shared" si="1"/>
        <v>7821</v>
      </c>
    </row>
    <row r="39" spans="1:6" x14ac:dyDescent="0.25">
      <c r="A39" s="5" t="s">
        <v>57</v>
      </c>
      <c r="B39" s="6">
        <v>20</v>
      </c>
      <c r="C39" s="6"/>
      <c r="D39" s="6">
        <v>200</v>
      </c>
      <c r="E39" s="6"/>
      <c r="F39" s="6">
        <f t="shared" si="1"/>
        <v>220</v>
      </c>
    </row>
    <row r="40" spans="1:6" x14ac:dyDescent="0.25">
      <c r="A40" s="5" t="s">
        <v>58</v>
      </c>
      <c r="B40" s="6">
        <v>300</v>
      </c>
      <c r="C40" s="6"/>
      <c r="D40" s="6"/>
      <c r="E40" s="6"/>
      <c r="F40" s="6">
        <f t="shared" si="1"/>
        <v>300</v>
      </c>
    </row>
    <row r="41" spans="1:6" x14ac:dyDescent="0.25">
      <c r="A41" s="5" t="s">
        <v>59</v>
      </c>
      <c r="B41" s="6">
        <v>20</v>
      </c>
      <c r="C41" s="6"/>
      <c r="D41" s="6">
        <v>480</v>
      </c>
      <c r="E41" s="6">
        <f>SUM('Szakmai program'!L29)/1000</f>
        <v>18.16</v>
      </c>
      <c r="F41" s="6">
        <f t="shared" si="1"/>
        <v>518.16</v>
      </c>
    </row>
    <row r="42" spans="1:6" x14ac:dyDescent="0.25">
      <c r="A42" s="5" t="s">
        <v>60</v>
      </c>
      <c r="B42" s="6"/>
      <c r="C42" s="6"/>
      <c r="D42" s="6">
        <v>323</v>
      </c>
      <c r="E42" s="6"/>
      <c r="F42" s="6">
        <f t="shared" si="1"/>
        <v>323</v>
      </c>
    </row>
    <row r="43" spans="1:6" x14ac:dyDescent="0.25">
      <c r="A43" s="5" t="s">
        <v>61</v>
      </c>
      <c r="B43" s="6"/>
      <c r="C43" s="6"/>
      <c r="D43" s="6">
        <v>120</v>
      </c>
      <c r="E43" s="6"/>
      <c r="F43" s="6">
        <f t="shared" si="1"/>
        <v>120</v>
      </c>
    </row>
    <row r="44" spans="1:6" x14ac:dyDescent="0.25">
      <c r="A44" s="5" t="s">
        <v>62</v>
      </c>
      <c r="B44" s="6"/>
      <c r="C44" s="6"/>
      <c r="D44" s="6">
        <f>12*100</f>
        <v>1200</v>
      </c>
      <c r="E44" s="6"/>
      <c r="F44" s="6">
        <f t="shared" si="1"/>
        <v>1200</v>
      </c>
    </row>
    <row r="45" spans="1:6" x14ac:dyDescent="0.25">
      <c r="A45" s="5" t="s">
        <v>63</v>
      </c>
      <c r="B45" s="6"/>
      <c r="C45" s="6"/>
      <c r="D45" s="6">
        <f>95*12</f>
        <v>1140</v>
      </c>
      <c r="E45" s="6"/>
      <c r="F45" s="6">
        <f t="shared" si="1"/>
        <v>1140</v>
      </c>
    </row>
    <row r="46" spans="1:6" s="16" customFormat="1" ht="14.25" x14ac:dyDescent="0.2">
      <c r="A46" s="1" t="s">
        <v>64</v>
      </c>
      <c r="B46" s="10">
        <f>SUM(B15:B45)</f>
        <v>3077</v>
      </c>
      <c r="C46" s="10">
        <f>SUM(C15:C45)</f>
        <v>1080</v>
      </c>
      <c r="D46" s="10">
        <f>SUM(D15:D45)</f>
        <v>28840</v>
      </c>
      <c r="E46" s="10">
        <f>SUM(E15:E45)</f>
        <v>3569.16</v>
      </c>
      <c r="F46" s="10">
        <f>SUM(F15:F45)</f>
        <v>36566.160000000003</v>
      </c>
    </row>
    <row r="47" spans="1:6" x14ac:dyDescent="0.25">
      <c r="A47" s="5"/>
      <c r="B47" s="6"/>
      <c r="C47" s="6"/>
      <c r="D47" s="6"/>
      <c r="E47" s="6"/>
      <c r="F47" s="6"/>
    </row>
    <row r="48" spans="1:6" x14ac:dyDescent="0.25">
      <c r="A48" s="5" t="s">
        <v>65</v>
      </c>
      <c r="B48" s="6">
        <f>+'Munkabér+ járulék'!I10/1000</f>
        <v>13138.523999999999</v>
      </c>
      <c r="C48" s="6">
        <v>420</v>
      </c>
      <c r="D48" s="6">
        <f>+'Munkabér+ járulék'!I23/1000</f>
        <v>28328.449800000002</v>
      </c>
      <c r="E48" s="6"/>
      <c r="F48" s="6">
        <f>SUM(B48:E48)</f>
        <v>41886.9738</v>
      </c>
    </row>
    <row r="49" spans="1:6" x14ac:dyDescent="0.25">
      <c r="A49" s="5" t="s">
        <v>66</v>
      </c>
      <c r="B49" s="6">
        <f>+'Munkabér+ járulék'!I27/1000</f>
        <v>3744.4793399999999</v>
      </c>
      <c r="C49" s="6">
        <v>120</v>
      </c>
      <c r="D49" s="6">
        <f>+'Munkabér+ járulék'!I28/1000</f>
        <v>8073.608193</v>
      </c>
      <c r="E49" s="6"/>
      <c r="F49" s="6">
        <f>SUM(B49:E49)</f>
        <v>11938.087533</v>
      </c>
    </row>
    <row r="50" spans="1:6" x14ac:dyDescent="0.25">
      <c r="A50" s="5" t="s">
        <v>67</v>
      </c>
      <c r="B50" s="6"/>
      <c r="C50" s="6"/>
      <c r="D50" s="6">
        <v>360</v>
      </c>
      <c r="E50" s="6">
        <f>SUM('Szakmai program'!I29)/1000</f>
        <v>880</v>
      </c>
      <c r="F50" s="6">
        <f>SUM(B50:E50)</f>
        <v>1240</v>
      </c>
    </row>
    <row r="51" spans="1:6" x14ac:dyDescent="0.25">
      <c r="A51" s="5" t="s">
        <v>68</v>
      </c>
      <c r="B51" s="6"/>
      <c r="C51" s="6"/>
      <c r="D51" s="6">
        <f>+D50*1.19*0.16</f>
        <v>68.543999999999997</v>
      </c>
      <c r="E51" s="6">
        <f>+E50*1.19*0.16</f>
        <v>167.55200000000002</v>
      </c>
      <c r="F51" s="6">
        <f>SUM(B51:E51)</f>
        <v>236.096</v>
      </c>
    </row>
    <row r="52" spans="1:6" x14ac:dyDescent="0.25">
      <c r="A52" s="5" t="s">
        <v>69</v>
      </c>
      <c r="B52" s="6"/>
      <c r="C52" s="6"/>
      <c r="D52" s="6">
        <f>+D50*1.19*0.27</f>
        <v>115.66800000000001</v>
      </c>
      <c r="E52" s="6">
        <f>+E50*1.19*0.27</f>
        <v>282.74400000000003</v>
      </c>
      <c r="F52" s="6">
        <f>SUM(B52:E52)</f>
        <v>398.41200000000003</v>
      </c>
    </row>
    <row r="53" spans="1:6" s="16" customFormat="1" ht="14.25" x14ac:dyDescent="0.2">
      <c r="A53" s="1" t="s">
        <v>70</v>
      </c>
      <c r="B53" s="10">
        <f>SUM(B48:B52)</f>
        <v>16883.003339999999</v>
      </c>
      <c r="C53" s="10">
        <f>SUM(C48:C52)</f>
        <v>540</v>
      </c>
      <c r="D53" s="10">
        <f>SUM(D48:D52)</f>
        <v>36946.269993000002</v>
      </c>
      <c r="E53" s="10">
        <f>SUM(E48:E52)</f>
        <v>1330.2960000000003</v>
      </c>
      <c r="F53" s="10">
        <f>SUM(F48:F52)</f>
        <v>55699.569332999992</v>
      </c>
    </row>
    <row r="54" spans="1:6" x14ac:dyDescent="0.25">
      <c r="A54" s="1"/>
      <c r="B54" s="6"/>
      <c r="C54" s="6"/>
      <c r="D54" s="6"/>
      <c r="E54" s="6"/>
      <c r="F54" s="6"/>
    </row>
    <row r="55" spans="1:6" x14ac:dyDescent="0.25">
      <c r="A55" s="5" t="s">
        <v>71</v>
      </c>
      <c r="B55" s="6">
        <v>932</v>
      </c>
      <c r="C55" s="6"/>
      <c r="D55" s="6">
        <f>+(D13+D46-D41-D42-D43-D34)*0.27</f>
        <v>7937.1900000000005</v>
      </c>
      <c r="E55" s="6">
        <f>SUM('Szakmai program'!G29)/1000</f>
        <v>1094.3532</v>
      </c>
      <c r="F55" s="6">
        <f>SUM(B55:E55)</f>
        <v>9963.5432000000001</v>
      </c>
    </row>
    <row r="56" spans="1:6" s="16" customFormat="1" ht="14.25" x14ac:dyDescent="0.2">
      <c r="A56" s="1" t="s">
        <v>72</v>
      </c>
      <c r="B56" s="10">
        <f>+B13+B46+B53+B55</f>
        <v>21182.003339999999</v>
      </c>
      <c r="C56" s="10">
        <f>+C13+C46+C53+C55</f>
        <v>1620</v>
      </c>
      <c r="D56" s="10">
        <f>+D13+D46+D53+D55</f>
        <v>75353.459992999997</v>
      </c>
      <c r="E56" s="10">
        <f>+E13+E46+E53+E55</f>
        <v>6478.8091999999997</v>
      </c>
      <c r="F56" s="10">
        <f>+F13+F46+F53+F55</f>
        <v>104634.272533</v>
      </c>
    </row>
    <row r="57" spans="1:6" x14ac:dyDescent="0.25">
      <c r="A57" s="7"/>
      <c r="B57" s="8"/>
      <c r="C57" s="8"/>
      <c r="D57" s="8"/>
      <c r="E57" s="8"/>
    </row>
  </sheetData>
  <mergeCells count="1">
    <mergeCell ref="A1:E1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opLeftCell="A7" zoomScaleNormal="100" workbookViewId="0">
      <selection activeCell="H17" sqref="H17"/>
    </sheetView>
  </sheetViews>
  <sheetFormatPr defaultColWidth="13.7109375" defaultRowHeight="15" x14ac:dyDescent="0.25"/>
  <cols>
    <col min="1" max="1" width="3.28515625" style="7" customWidth="1"/>
    <col min="2" max="2" width="23.85546875" style="7" customWidth="1"/>
    <col min="3" max="3" width="16.7109375" style="7" customWidth="1"/>
    <col min="4" max="5" width="13.7109375" style="8" customWidth="1"/>
    <col min="6" max="6" width="9.140625" style="7" customWidth="1"/>
    <col min="7" max="8" width="13.5703125" style="7" customWidth="1"/>
    <col min="9" max="9" width="16.28515625" style="7" customWidth="1"/>
    <col min="10" max="252" width="9.140625" style="7" customWidth="1"/>
    <col min="253" max="253" width="3.28515625" style="7" customWidth="1"/>
    <col min="254" max="254" width="23.85546875" style="7" customWidth="1"/>
    <col min="255" max="255" width="14.5703125" style="7" customWidth="1"/>
    <col min="256" max="16384" width="13.7109375" style="7"/>
  </cols>
  <sheetData>
    <row r="1" spans="1:9" ht="23.25" customHeight="1" x14ac:dyDescent="0.3">
      <c r="A1" s="41" t="s">
        <v>74</v>
      </c>
      <c r="B1" s="42"/>
      <c r="C1" s="42"/>
      <c r="D1" s="42"/>
      <c r="E1" s="42"/>
      <c r="F1" s="42"/>
      <c r="G1" s="42"/>
      <c r="H1" s="42"/>
      <c r="I1" s="42"/>
    </row>
    <row r="2" spans="1:9" s="4" customFormat="1" ht="29.25" customHeight="1" x14ac:dyDescent="0.2">
      <c r="A2" s="1"/>
      <c r="B2" s="1" t="s">
        <v>75</v>
      </c>
      <c r="C2" s="2" t="s">
        <v>76</v>
      </c>
      <c r="D2" s="3" t="s">
        <v>77</v>
      </c>
      <c r="E2" s="3" t="s">
        <v>78</v>
      </c>
      <c r="F2" s="2" t="s">
        <v>79</v>
      </c>
      <c r="G2" s="3" t="s">
        <v>80</v>
      </c>
      <c r="H2" s="3" t="s">
        <v>81</v>
      </c>
      <c r="I2" s="2" t="s">
        <v>82</v>
      </c>
    </row>
    <row r="3" spans="1:9" x14ac:dyDescent="0.25">
      <c r="A3" s="5">
        <v>1</v>
      </c>
      <c r="B3" s="5" t="s">
        <v>83</v>
      </c>
      <c r="C3" s="5" t="s">
        <v>84</v>
      </c>
      <c r="D3" s="6">
        <v>473600</v>
      </c>
      <c r="E3" s="6">
        <f>SUM(D3*12)</f>
        <v>5683200</v>
      </c>
      <c r="F3" s="12">
        <v>0.05</v>
      </c>
      <c r="G3" s="6">
        <f>+D3*F3</f>
        <v>23680</v>
      </c>
      <c r="H3" s="6">
        <f>+D3+G3</f>
        <v>497280</v>
      </c>
      <c r="I3" s="6">
        <f>+H3*12</f>
        <v>5967360</v>
      </c>
    </row>
    <row r="4" spans="1:9" x14ac:dyDescent="0.25">
      <c r="A4" s="5">
        <v>2</v>
      </c>
      <c r="B4" s="5" t="s">
        <v>85</v>
      </c>
      <c r="C4" s="5" t="s">
        <v>86</v>
      </c>
      <c r="D4" s="6">
        <v>172700</v>
      </c>
      <c r="E4" s="6">
        <f t="shared" ref="E4:E9" si="0">SUM(D4*12)</f>
        <v>2072400</v>
      </c>
      <c r="F4" s="12">
        <v>0.05</v>
      </c>
      <c r="G4" s="6">
        <f t="shared" ref="G4:G9" si="1">+D4*F4</f>
        <v>8635</v>
      </c>
      <c r="H4" s="6">
        <f t="shared" ref="H4:H9" si="2">+D4+G4</f>
        <v>181335</v>
      </c>
      <c r="I4" s="6">
        <f t="shared" ref="I4:I9" si="3">+H4*12</f>
        <v>2176020</v>
      </c>
    </row>
    <row r="5" spans="1:9" x14ac:dyDescent="0.25">
      <c r="A5" s="5">
        <v>3</v>
      </c>
      <c r="B5" s="5" t="s">
        <v>87</v>
      </c>
      <c r="C5" s="5" t="s">
        <v>88</v>
      </c>
      <c r="D5" s="6">
        <v>164900</v>
      </c>
      <c r="E5" s="6">
        <f t="shared" si="0"/>
        <v>1978800</v>
      </c>
      <c r="F5" s="12">
        <v>0.05</v>
      </c>
      <c r="G5" s="6">
        <f t="shared" si="1"/>
        <v>8245</v>
      </c>
      <c r="H5" s="6">
        <f t="shared" si="2"/>
        <v>173145</v>
      </c>
      <c r="I5" s="6">
        <f t="shared" si="3"/>
        <v>2077740</v>
      </c>
    </row>
    <row r="6" spans="1:9" x14ac:dyDescent="0.25">
      <c r="A6" s="5">
        <v>4</v>
      </c>
      <c r="B6" s="5" t="s">
        <v>89</v>
      </c>
      <c r="C6" s="5" t="s">
        <v>90</v>
      </c>
      <c r="D6" s="6">
        <v>64400</v>
      </c>
      <c r="E6" s="6">
        <f t="shared" si="0"/>
        <v>772800</v>
      </c>
      <c r="F6" s="12">
        <v>0.05</v>
      </c>
      <c r="G6" s="6">
        <f t="shared" si="1"/>
        <v>3220</v>
      </c>
      <c r="H6" s="6">
        <f t="shared" si="2"/>
        <v>67620</v>
      </c>
      <c r="I6" s="6">
        <f t="shared" si="3"/>
        <v>811440</v>
      </c>
    </row>
    <row r="7" spans="1:9" x14ac:dyDescent="0.25">
      <c r="A7" s="5">
        <v>5</v>
      </c>
      <c r="B7" s="5" t="s">
        <v>91</v>
      </c>
      <c r="C7" s="5" t="s">
        <v>90</v>
      </c>
      <c r="D7" s="6">
        <v>46340</v>
      </c>
      <c r="E7" s="6">
        <f t="shared" si="0"/>
        <v>556080</v>
      </c>
      <c r="F7" s="12">
        <v>0.05</v>
      </c>
      <c r="G7" s="6">
        <f t="shared" si="1"/>
        <v>2317</v>
      </c>
      <c r="H7" s="6">
        <f t="shared" si="2"/>
        <v>48657</v>
      </c>
      <c r="I7" s="6">
        <f t="shared" si="3"/>
        <v>583884</v>
      </c>
    </row>
    <row r="8" spans="1:9" x14ac:dyDescent="0.25">
      <c r="A8" s="5">
        <v>6</v>
      </c>
      <c r="B8" s="5" t="s">
        <v>92</v>
      </c>
      <c r="C8" s="5" t="s">
        <v>90</v>
      </c>
      <c r="D8" s="6">
        <v>67600</v>
      </c>
      <c r="E8" s="6">
        <f t="shared" si="0"/>
        <v>811200</v>
      </c>
      <c r="F8" s="12">
        <v>0.05</v>
      </c>
      <c r="G8" s="6">
        <f t="shared" si="1"/>
        <v>3380</v>
      </c>
      <c r="H8" s="6">
        <f t="shared" si="2"/>
        <v>70980</v>
      </c>
      <c r="I8" s="6">
        <f t="shared" si="3"/>
        <v>851760</v>
      </c>
    </row>
    <row r="9" spans="1:9" x14ac:dyDescent="0.25">
      <c r="A9" s="5">
        <v>7</v>
      </c>
      <c r="B9" s="5" t="s">
        <v>93</v>
      </c>
      <c r="C9" s="5" t="s">
        <v>94</v>
      </c>
      <c r="D9" s="6">
        <v>53200</v>
      </c>
      <c r="E9" s="6">
        <f t="shared" si="0"/>
        <v>638400</v>
      </c>
      <c r="F9" s="12">
        <v>0.05</v>
      </c>
      <c r="G9" s="6">
        <f t="shared" si="1"/>
        <v>2660</v>
      </c>
      <c r="H9" s="6">
        <f t="shared" si="2"/>
        <v>55860</v>
      </c>
      <c r="I9" s="6">
        <f t="shared" si="3"/>
        <v>670320</v>
      </c>
    </row>
    <row r="10" spans="1:9" s="4" customFormat="1" ht="32.25" customHeight="1" x14ac:dyDescent="0.2">
      <c r="A10" s="1"/>
      <c r="B10" s="9" t="s">
        <v>95</v>
      </c>
      <c r="C10" s="1"/>
      <c r="D10" s="11">
        <f>SUM(D3:D9)</f>
        <v>1042740</v>
      </c>
      <c r="E10" s="11">
        <f>SUM(E3:E9)</f>
        <v>12512880</v>
      </c>
      <c r="F10" s="1"/>
      <c r="G10" s="11">
        <f>SUM(G3:G9)</f>
        <v>52137</v>
      </c>
      <c r="H10" s="11">
        <f>SUM(H3:H9)</f>
        <v>1094877</v>
      </c>
      <c r="I10" s="11">
        <f>SUM(I3:I9)</f>
        <v>13138524</v>
      </c>
    </row>
    <row r="12" spans="1:9" s="4" customFormat="1" ht="36.75" customHeight="1" x14ac:dyDescent="0.2">
      <c r="A12" s="1"/>
      <c r="B12" s="1" t="s">
        <v>75</v>
      </c>
      <c r="C12" s="3" t="s">
        <v>76</v>
      </c>
      <c r="D12" s="3" t="s">
        <v>96</v>
      </c>
      <c r="E12" s="3"/>
      <c r="F12" s="2" t="s">
        <v>79</v>
      </c>
      <c r="G12" s="3" t="s">
        <v>80</v>
      </c>
      <c r="H12" s="3" t="s">
        <v>81</v>
      </c>
      <c r="I12" s="2" t="s">
        <v>82</v>
      </c>
    </row>
    <row r="13" spans="1:9" x14ac:dyDescent="0.25">
      <c r="A13" s="5">
        <v>1</v>
      </c>
      <c r="B13" s="5" t="s">
        <v>97</v>
      </c>
      <c r="C13" s="5" t="s">
        <v>98</v>
      </c>
      <c r="D13" s="6">
        <v>326200</v>
      </c>
      <c r="E13" s="6">
        <v>326200</v>
      </c>
      <c r="F13" s="12">
        <v>0</v>
      </c>
      <c r="G13" s="6">
        <f t="shared" ref="G13:G22" si="4">+D13*F13</f>
        <v>0</v>
      </c>
      <c r="H13" s="6">
        <v>371193</v>
      </c>
      <c r="I13" s="6">
        <v>371193</v>
      </c>
    </row>
    <row r="14" spans="1:9" x14ac:dyDescent="0.25">
      <c r="A14" s="5">
        <v>2</v>
      </c>
      <c r="B14" s="5" t="s">
        <v>99</v>
      </c>
      <c r="C14" s="5" t="s">
        <v>100</v>
      </c>
      <c r="D14" s="6">
        <v>183700</v>
      </c>
      <c r="E14" s="6">
        <f t="shared" ref="E14:E22" si="5">SUM(D14*12)</f>
        <v>2204400</v>
      </c>
      <c r="F14" s="12">
        <v>0.05</v>
      </c>
      <c r="G14" s="6">
        <f t="shared" si="4"/>
        <v>9185</v>
      </c>
      <c r="H14" s="6">
        <f t="shared" ref="H14:H22" si="6">+D14+G14</f>
        <v>192885</v>
      </c>
      <c r="I14" s="6">
        <f t="shared" ref="I14:I22" si="7">+H14*12</f>
        <v>2314620</v>
      </c>
    </row>
    <row r="15" spans="1:9" x14ac:dyDescent="0.25">
      <c r="A15" s="5">
        <v>3</v>
      </c>
      <c r="B15" s="5" t="s">
        <v>101</v>
      </c>
      <c r="C15" s="5" t="s">
        <v>102</v>
      </c>
      <c r="D15" s="6">
        <v>188400</v>
      </c>
      <c r="E15" s="6">
        <f t="shared" si="5"/>
        <v>2260800</v>
      </c>
      <c r="F15" s="12">
        <v>0.05</v>
      </c>
      <c r="G15" s="6">
        <f t="shared" si="4"/>
        <v>9420</v>
      </c>
      <c r="H15" s="6">
        <f t="shared" si="6"/>
        <v>197820</v>
      </c>
      <c r="I15" s="6">
        <f t="shared" si="7"/>
        <v>2373840</v>
      </c>
    </row>
    <row r="16" spans="1:9" x14ac:dyDescent="0.25">
      <c r="A16" s="5">
        <v>4</v>
      </c>
      <c r="B16" s="5" t="s">
        <v>103</v>
      </c>
      <c r="C16" s="5" t="s">
        <v>98</v>
      </c>
      <c r="D16" s="6">
        <v>264968</v>
      </c>
      <c r="E16" s="6">
        <f t="shared" si="5"/>
        <v>3179616</v>
      </c>
      <c r="F16" s="12">
        <v>0.05</v>
      </c>
      <c r="G16" s="6">
        <f t="shared" si="4"/>
        <v>13248.400000000001</v>
      </c>
      <c r="H16" s="6">
        <f t="shared" si="6"/>
        <v>278216.40000000002</v>
      </c>
      <c r="I16" s="6">
        <f t="shared" si="7"/>
        <v>3338596.8000000003</v>
      </c>
    </row>
    <row r="17" spans="1:9" x14ac:dyDescent="0.25">
      <c r="A17" s="5">
        <v>5</v>
      </c>
      <c r="B17" s="5" t="s">
        <v>104</v>
      </c>
      <c r="C17" s="5" t="s">
        <v>105</v>
      </c>
      <c r="D17" s="6">
        <v>167400</v>
      </c>
      <c r="E17" s="6">
        <f t="shared" si="5"/>
        <v>2008800</v>
      </c>
      <c r="F17" s="12">
        <v>0.05</v>
      </c>
      <c r="G17" s="6">
        <f t="shared" si="4"/>
        <v>8370</v>
      </c>
      <c r="H17" s="6">
        <f t="shared" si="6"/>
        <v>175770</v>
      </c>
      <c r="I17" s="6">
        <f t="shared" si="7"/>
        <v>2109240</v>
      </c>
    </row>
    <row r="18" spans="1:9" x14ac:dyDescent="0.25">
      <c r="A18" s="5">
        <v>6</v>
      </c>
      <c r="B18" s="5" t="s">
        <v>106</v>
      </c>
      <c r="C18" s="5" t="s">
        <v>107</v>
      </c>
      <c r="D18" s="6">
        <v>149600</v>
      </c>
      <c r="E18" s="6">
        <f t="shared" si="5"/>
        <v>1795200</v>
      </c>
      <c r="F18" s="12">
        <v>0.05</v>
      </c>
      <c r="G18" s="6">
        <f t="shared" si="4"/>
        <v>7480</v>
      </c>
      <c r="H18" s="6">
        <f t="shared" si="6"/>
        <v>157080</v>
      </c>
      <c r="I18" s="6">
        <f t="shared" si="7"/>
        <v>1884960</v>
      </c>
    </row>
    <row r="19" spans="1:9" x14ac:dyDescent="0.25">
      <c r="A19" s="5">
        <v>7</v>
      </c>
      <c r="B19" s="5" t="s">
        <v>108</v>
      </c>
      <c r="C19" s="5" t="s">
        <v>155</v>
      </c>
      <c r="D19" s="6">
        <v>229000</v>
      </c>
      <c r="E19" s="6">
        <f t="shared" si="5"/>
        <v>2748000</v>
      </c>
      <c r="F19" s="12">
        <v>0</v>
      </c>
      <c r="G19" s="6">
        <f t="shared" si="4"/>
        <v>0</v>
      </c>
      <c r="H19" s="6">
        <f t="shared" si="6"/>
        <v>229000</v>
      </c>
      <c r="I19" s="6">
        <f t="shared" si="7"/>
        <v>2748000</v>
      </c>
    </row>
    <row r="20" spans="1:9" x14ac:dyDescent="0.25">
      <c r="A20" s="5">
        <v>8</v>
      </c>
      <c r="B20" s="5" t="s">
        <v>109</v>
      </c>
      <c r="C20" s="5" t="s">
        <v>110</v>
      </c>
      <c r="D20" s="6">
        <v>570000</v>
      </c>
      <c r="E20" s="6">
        <f t="shared" si="5"/>
        <v>6840000</v>
      </c>
      <c r="F20" s="12">
        <v>0</v>
      </c>
      <c r="G20" s="6">
        <f t="shared" si="4"/>
        <v>0</v>
      </c>
      <c r="H20" s="6">
        <f t="shared" si="6"/>
        <v>570000</v>
      </c>
      <c r="I20" s="6">
        <f t="shared" si="7"/>
        <v>6840000</v>
      </c>
    </row>
    <row r="21" spans="1:9" x14ac:dyDescent="0.25">
      <c r="A21" s="5">
        <v>9</v>
      </c>
      <c r="B21" s="5" t="s">
        <v>111</v>
      </c>
      <c r="C21" s="5" t="s">
        <v>98</v>
      </c>
      <c r="D21" s="6">
        <v>229000</v>
      </c>
      <c r="E21" s="6">
        <f t="shared" si="5"/>
        <v>2748000</v>
      </c>
      <c r="F21" s="12">
        <v>0</v>
      </c>
      <c r="G21" s="6">
        <f t="shared" si="4"/>
        <v>0</v>
      </c>
      <c r="H21" s="6">
        <f t="shared" si="6"/>
        <v>229000</v>
      </c>
      <c r="I21" s="6">
        <f t="shared" si="7"/>
        <v>2748000</v>
      </c>
    </row>
    <row r="22" spans="1:9" x14ac:dyDescent="0.25">
      <c r="A22" s="5">
        <v>10</v>
      </c>
      <c r="B22" s="5" t="s">
        <v>154</v>
      </c>
      <c r="C22" s="5" t="s">
        <v>156</v>
      </c>
      <c r="D22" s="6">
        <v>300000</v>
      </c>
      <c r="E22" s="6">
        <f t="shared" si="5"/>
        <v>3600000</v>
      </c>
      <c r="F22" s="12">
        <v>0</v>
      </c>
      <c r="G22" s="6">
        <f t="shared" si="4"/>
        <v>0</v>
      </c>
      <c r="H22" s="6">
        <f t="shared" si="6"/>
        <v>300000</v>
      </c>
      <c r="I22" s="6">
        <f t="shared" si="7"/>
        <v>3600000</v>
      </c>
    </row>
    <row r="23" spans="1:9" s="4" customFormat="1" ht="27.75" customHeight="1" x14ac:dyDescent="0.2">
      <c r="A23" s="1"/>
      <c r="B23" s="9" t="s">
        <v>112</v>
      </c>
      <c r="C23" s="1"/>
      <c r="D23" s="10">
        <f>SUM(D13:D22)</f>
        <v>2608268</v>
      </c>
      <c r="E23" s="10">
        <f>SUM(E13:E22)</f>
        <v>27711016</v>
      </c>
      <c r="F23" s="1"/>
      <c r="G23" s="10">
        <f>SUM(G13:G22)</f>
        <v>47703.4</v>
      </c>
      <c r="H23" s="10">
        <f>SUM(H13:H22)</f>
        <v>2700964.4</v>
      </c>
      <c r="I23" s="10">
        <f>SUM(I13:I22)</f>
        <v>28328449.800000001</v>
      </c>
    </row>
    <row r="24" spans="1:9" x14ac:dyDescent="0.25">
      <c r="A24" s="1"/>
      <c r="B24" s="9" t="s">
        <v>113</v>
      </c>
      <c r="C24" s="1"/>
      <c r="D24" s="10">
        <f>+D10+D23</f>
        <v>3651008</v>
      </c>
      <c r="E24" s="10">
        <f>SUM(E10+E23)</f>
        <v>40223896</v>
      </c>
      <c r="F24" s="1"/>
      <c r="G24" s="10">
        <f>+G10+G23</f>
        <v>99840.4</v>
      </c>
      <c r="H24" s="10">
        <f>+H10+H23</f>
        <v>3795841.4</v>
      </c>
      <c r="I24" s="10">
        <f>+I10+I23</f>
        <v>41466973.799999997</v>
      </c>
    </row>
    <row r="25" spans="1:9" ht="26.25" customHeight="1" x14ac:dyDescent="0.25"/>
    <row r="26" spans="1:9" ht="18.75" x14ac:dyDescent="0.3">
      <c r="A26" s="34" t="s">
        <v>114</v>
      </c>
      <c r="B26" s="35"/>
      <c r="C26" s="35"/>
      <c r="D26" s="35"/>
      <c r="E26" s="35"/>
      <c r="F26" s="35"/>
      <c r="G26" s="35"/>
      <c r="H26" s="35"/>
      <c r="I26" s="35"/>
    </row>
    <row r="27" spans="1:9" ht="29.25" x14ac:dyDescent="0.25">
      <c r="A27" s="5"/>
      <c r="B27" s="9" t="s">
        <v>95</v>
      </c>
      <c r="C27" s="1"/>
      <c r="D27" s="10"/>
      <c r="E27" s="10">
        <f>SUM(E10*0.285)</f>
        <v>3566170.8</v>
      </c>
      <c r="F27" s="1"/>
      <c r="G27" s="1"/>
      <c r="H27" s="1"/>
      <c r="I27" s="10">
        <f>+I10*0.285</f>
        <v>3744479.34</v>
      </c>
    </row>
    <row r="28" spans="1:9" ht="29.25" x14ac:dyDescent="0.25">
      <c r="A28" s="5"/>
      <c r="B28" s="9" t="s">
        <v>112</v>
      </c>
      <c r="C28" s="1"/>
      <c r="D28" s="10"/>
      <c r="E28" s="10">
        <f>SUM(E23*0.285)</f>
        <v>7897639.5599999996</v>
      </c>
      <c r="F28" s="1"/>
      <c r="G28" s="1"/>
      <c r="H28" s="1"/>
      <c r="I28" s="10">
        <f>+I23*0.285</f>
        <v>8073608.193</v>
      </c>
    </row>
    <row r="29" spans="1:9" x14ac:dyDescent="0.25">
      <c r="A29" s="5"/>
      <c r="B29" s="9" t="s">
        <v>113</v>
      </c>
      <c r="C29" s="1"/>
      <c r="D29" s="10"/>
      <c r="E29" s="10">
        <f>SUM(E27:E28)</f>
        <v>11463810.359999999</v>
      </c>
      <c r="F29" s="1"/>
      <c r="G29" s="1"/>
      <c r="H29" s="1"/>
      <c r="I29" s="10">
        <f>SUM(I27:I28)</f>
        <v>11818087.533</v>
      </c>
    </row>
  </sheetData>
  <mergeCells count="1">
    <mergeCell ref="A1:I1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zoomScaleNormal="100" workbookViewId="0">
      <selection activeCell="A16" sqref="A16:N16"/>
    </sheetView>
  </sheetViews>
  <sheetFormatPr defaultRowHeight="15" x14ac:dyDescent="0.25"/>
  <cols>
    <col min="1" max="1" width="29" style="15" customWidth="1"/>
    <col min="2" max="2" width="9.140625" style="15"/>
    <col min="3" max="3" width="8.7109375" style="15" customWidth="1"/>
    <col min="4" max="5" width="7.42578125" style="15" customWidth="1"/>
    <col min="6" max="7" width="9.140625" style="15"/>
    <col min="8" max="8" width="10" style="15" customWidth="1"/>
    <col min="9" max="9" width="13.42578125" style="15" customWidth="1"/>
    <col min="10" max="10" width="8.5703125" style="15" customWidth="1"/>
    <col min="11" max="11" width="8.85546875" style="15" customWidth="1"/>
    <col min="12" max="12" width="7.85546875" style="15" customWidth="1"/>
    <col min="13" max="13" width="12.140625" style="15" customWidth="1"/>
    <col min="14" max="14" width="9.42578125" style="15" customWidth="1"/>
    <col min="15" max="16384" width="9.140625" style="15"/>
  </cols>
  <sheetData>
    <row r="1" spans="1:14" ht="18.75" x14ac:dyDescent="0.3">
      <c r="A1" s="36" t="s">
        <v>115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 t="s">
        <v>73</v>
      </c>
      <c r="M2" s="7"/>
      <c r="N2" s="7"/>
    </row>
    <row r="3" spans="1:14" x14ac:dyDescent="0.25">
      <c r="A3" s="19" t="s">
        <v>116</v>
      </c>
      <c r="B3" s="20" t="s">
        <v>117</v>
      </c>
      <c r="C3" s="20" t="s">
        <v>118</v>
      </c>
      <c r="D3" s="20" t="s">
        <v>119</v>
      </c>
      <c r="E3" s="19" t="s">
        <v>120</v>
      </c>
      <c r="F3" s="20" t="s">
        <v>121</v>
      </c>
      <c r="G3" s="19" t="s">
        <v>122</v>
      </c>
      <c r="H3" s="19" t="s">
        <v>123</v>
      </c>
      <c r="I3" s="20" t="s">
        <v>124</v>
      </c>
      <c r="J3" s="20" t="s">
        <v>125</v>
      </c>
      <c r="K3" s="20" t="s">
        <v>126</v>
      </c>
      <c r="L3" s="19" t="s">
        <v>127</v>
      </c>
      <c r="M3" s="19" t="s">
        <v>128</v>
      </c>
      <c r="N3" s="19" t="s">
        <v>129</v>
      </c>
    </row>
    <row r="4" spans="1:14" x14ac:dyDescent="0.25">
      <c r="A4" s="21" t="s">
        <v>130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4" s="28" customFormat="1" x14ac:dyDescent="0.25">
      <c r="A5" s="26" t="s">
        <v>140</v>
      </c>
      <c r="B5" s="26"/>
      <c r="C5" s="26"/>
      <c r="D5" s="26"/>
      <c r="E5" s="26"/>
      <c r="F5" s="27">
        <v>80000</v>
      </c>
      <c r="G5" s="32">
        <f>F5*0.27</f>
        <v>21600</v>
      </c>
      <c r="H5" s="26"/>
      <c r="I5" s="27">
        <v>40000</v>
      </c>
      <c r="J5" s="27">
        <f>I5*0.5117</f>
        <v>20468</v>
      </c>
      <c r="K5" s="26"/>
      <c r="L5" s="26"/>
      <c r="M5" s="27">
        <f t="shared" ref="M5:M11" si="0">SUM(B5:L5)</f>
        <v>162068</v>
      </c>
      <c r="N5" s="26"/>
    </row>
    <row r="6" spans="1:14" s="18" customFormat="1" x14ac:dyDescent="0.25">
      <c r="A6" s="26" t="s">
        <v>131</v>
      </c>
      <c r="B6" s="27">
        <v>30000</v>
      </c>
      <c r="C6" s="27"/>
      <c r="D6" s="27"/>
      <c r="E6" s="27"/>
      <c r="F6" s="27">
        <v>20000</v>
      </c>
      <c r="G6" s="33">
        <f>(B6+F6)*0.27</f>
        <v>13500</v>
      </c>
      <c r="H6" s="27"/>
      <c r="I6" s="27">
        <v>50000</v>
      </c>
      <c r="J6" s="27">
        <f>I6*0.5117</f>
        <v>25585.000000000004</v>
      </c>
      <c r="K6" s="27"/>
      <c r="L6" s="27"/>
      <c r="M6" s="27">
        <f t="shared" si="0"/>
        <v>139085</v>
      </c>
      <c r="N6" s="26"/>
    </row>
    <row r="7" spans="1:14" s="18" customFormat="1" x14ac:dyDescent="0.25">
      <c r="A7" s="26" t="s">
        <v>139</v>
      </c>
      <c r="B7" s="27"/>
      <c r="C7" s="27"/>
      <c r="D7" s="27">
        <v>50000</v>
      </c>
      <c r="E7" s="27"/>
      <c r="F7" s="27">
        <v>300000</v>
      </c>
      <c r="G7" s="27">
        <f>(D7+F7+H7)*0.27</f>
        <v>148500</v>
      </c>
      <c r="H7" s="27">
        <v>200000</v>
      </c>
      <c r="I7" s="27">
        <v>50000</v>
      </c>
      <c r="J7" s="27">
        <f>I7*0.5117</f>
        <v>25585.000000000004</v>
      </c>
      <c r="K7" s="27"/>
      <c r="L7" s="27"/>
      <c r="M7" s="27">
        <f t="shared" si="0"/>
        <v>774085</v>
      </c>
      <c r="N7" s="26"/>
    </row>
    <row r="8" spans="1:14" s="18" customFormat="1" x14ac:dyDescent="0.25">
      <c r="A8" s="26" t="s">
        <v>141</v>
      </c>
      <c r="B8" s="27"/>
      <c r="C8" s="27"/>
      <c r="D8" s="27"/>
      <c r="E8" s="27"/>
      <c r="F8" s="27"/>
      <c r="G8" s="27"/>
      <c r="H8" s="27"/>
      <c r="I8" s="27">
        <v>10000</v>
      </c>
      <c r="J8" s="27">
        <f>I8*0.5117</f>
        <v>5117</v>
      </c>
      <c r="K8" s="27"/>
      <c r="L8" s="27"/>
      <c r="M8" s="27">
        <f t="shared" si="0"/>
        <v>15117</v>
      </c>
      <c r="N8" s="26"/>
    </row>
    <row r="9" spans="1:14" s="18" customFormat="1" x14ac:dyDescent="0.25">
      <c r="A9" s="26" t="s">
        <v>132</v>
      </c>
      <c r="B9" s="27">
        <v>50000</v>
      </c>
      <c r="C9" s="27"/>
      <c r="D9" s="27"/>
      <c r="E9" s="27">
        <v>1000</v>
      </c>
      <c r="F9" s="27">
        <v>15000</v>
      </c>
      <c r="G9" s="27">
        <f>(B9+F9+H9+K9)*0.27</f>
        <v>74250</v>
      </c>
      <c r="H9" s="27">
        <v>200000</v>
      </c>
      <c r="I9" s="27"/>
      <c r="J9" s="27"/>
      <c r="K9" s="27">
        <v>10000</v>
      </c>
      <c r="L9" s="27"/>
      <c r="M9" s="27">
        <f t="shared" si="0"/>
        <v>350250</v>
      </c>
      <c r="N9" s="26"/>
    </row>
    <row r="10" spans="1:14" s="18" customFormat="1" x14ac:dyDescent="0.25">
      <c r="A10" s="26" t="s">
        <v>143</v>
      </c>
      <c r="B10" s="27">
        <v>50000</v>
      </c>
      <c r="C10" s="27"/>
      <c r="D10" s="27"/>
      <c r="E10" s="27"/>
      <c r="F10" s="27">
        <v>100000</v>
      </c>
      <c r="G10" s="27">
        <f>(B10+F10+H10)*0.27</f>
        <v>81000</v>
      </c>
      <c r="H10" s="27">
        <v>150000</v>
      </c>
      <c r="I10" s="27">
        <v>50000</v>
      </c>
      <c r="J10" s="27">
        <f>I10*0.5117</f>
        <v>25585.000000000004</v>
      </c>
      <c r="K10" s="27"/>
      <c r="L10" s="27"/>
      <c r="M10" s="27">
        <f t="shared" si="0"/>
        <v>456585</v>
      </c>
      <c r="N10" s="26"/>
    </row>
    <row r="11" spans="1:14" s="18" customFormat="1" x14ac:dyDescent="0.25">
      <c r="A11" s="26" t="s">
        <v>145</v>
      </c>
      <c r="B11" s="27">
        <v>100000</v>
      </c>
      <c r="C11" s="27"/>
      <c r="D11" s="27"/>
      <c r="E11" s="27"/>
      <c r="F11" s="27">
        <v>50000</v>
      </c>
      <c r="G11" s="27">
        <f>(B11+F11+H11)*0.27</f>
        <v>54000</v>
      </c>
      <c r="H11" s="27">
        <v>50000</v>
      </c>
      <c r="I11" s="27"/>
      <c r="J11" s="27"/>
      <c r="K11" s="27"/>
      <c r="L11" s="27"/>
      <c r="M11" s="27">
        <f t="shared" si="0"/>
        <v>254000</v>
      </c>
      <c r="N11" s="26"/>
    </row>
    <row r="12" spans="1:14" s="18" customFormat="1" x14ac:dyDescent="0.25">
      <c r="A12" s="22" t="s">
        <v>133</v>
      </c>
      <c r="B12" s="23">
        <f>SUM(B6:B11)</f>
        <v>230000</v>
      </c>
      <c r="C12" s="23">
        <f>SUM(C6:C11)</f>
        <v>0</v>
      </c>
      <c r="D12" s="23">
        <f>SUM(D6:D11)</f>
        <v>50000</v>
      </c>
      <c r="E12" s="23">
        <f>SUM(E6:E11)</f>
        <v>1000</v>
      </c>
      <c r="F12" s="23">
        <f>SUM(F5:F11)</f>
        <v>565000</v>
      </c>
      <c r="G12" s="23">
        <f>SUM(G5:G11)</f>
        <v>392850</v>
      </c>
      <c r="H12" s="23">
        <f>SUM(H6:H11)</f>
        <v>600000</v>
      </c>
      <c r="I12" s="23">
        <f>SUM(I5:I11)</f>
        <v>200000</v>
      </c>
      <c r="J12" s="23">
        <f>SUM(J5:J11)</f>
        <v>102340</v>
      </c>
      <c r="K12" s="23">
        <f>SUM(K6:K11)</f>
        <v>10000</v>
      </c>
      <c r="L12" s="23">
        <f>SUM(L6:L11)</f>
        <v>0</v>
      </c>
      <c r="M12" s="23">
        <f>SUM(M5:M11)</f>
        <v>2151190</v>
      </c>
      <c r="N12" s="29">
        <v>0</v>
      </c>
    </row>
    <row r="13" spans="1:14" s="18" customFormat="1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30"/>
      <c r="N13" s="26"/>
    </row>
    <row r="14" spans="1:14" s="18" customFormat="1" x14ac:dyDescent="0.25">
      <c r="A14" s="31" t="s">
        <v>134</v>
      </c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30"/>
      <c r="N14" s="26"/>
    </row>
    <row r="15" spans="1:14" s="18" customFormat="1" x14ac:dyDescent="0.25">
      <c r="A15" s="26" t="s">
        <v>142</v>
      </c>
      <c r="B15" s="27"/>
      <c r="C15" s="27"/>
      <c r="D15" s="27"/>
      <c r="E15" s="27"/>
      <c r="F15" s="27">
        <v>70000</v>
      </c>
      <c r="G15" s="27">
        <f>F15*0.27</f>
        <v>18900</v>
      </c>
      <c r="H15" s="27"/>
      <c r="I15" s="27">
        <v>10000</v>
      </c>
      <c r="J15" s="27">
        <f>I15*0.5117</f>
        <v>5117</v>
      </c>
      <c r="K15" s="27"/>
      <c r="L15" s="27"/>
      <c r="M15" s="27">
        <f>SUM(B15:L15)</f>
        <v>104017</v>
      </c>
      <c r="N15" s="26"/>
    </row>
    <row r="16" spans="1:14" s="18" customFormat="1" x14ac:dyDescent="0.25">
      <c r="A16" s="26" t="s">
        <v>147</v>
      </c>
      <c r="B16" s="27"/>
      <c r="C16" s="27"/>
      <c r="D16" s="27"/>
      <c r="E16" s="27"/>
      <c r="F16" s="27"/>
      <c r="G16" s="27">
        <f>H16*0.27</f>
        <v>27000</v>
      </c>
      <c r="H16" s="27">
        <v>100000</v>
      </c>
      <c r="I16" s="27">
        <v>20000</v>
      </c>
      <c r="J16" s="27">
        <f>I16*0.5117</f>
        <v>10234</v>
      </c>
      <c r="K16" s="27"/>
      <c r="L16" s="27"/>
      <c r="M16" s="27">
        <f t="shared" ref="M16:M22" si="1">SUM(B16:L16)</f>
        <v>157234</v>
      </c>
      <c r="N16" s="27"/>
    </row>
    <row r="17" spans="1:14" s="18" customFormat="1" x14ac:dyDescent="0.25">
      <c r="A17" s="26" t="s">
        <v>148</v>
      </c>
      <c r="B17" s="27">
        <v>20000</v>
      </c>
      <c r="C17" s="27"/>
      <c r="D17" s="27"/>
      <c r="E17" s="27"/>
      <c r="F17" s="27"/>
      <c r="G17" s="27">
        <f>(B17+H17)*0.27</f>
        <v>27000</v>
      </c>
      <c r="H17" s="27">
        <v>80000</v>
      </c>
      <c r="I17" s="27"/>
      <c r="J17" s="27"/>
      <c r="K17" s="27"/>
      <c r="L17" s="27"/>
      <c r="M17" s="27">
        <f t="shared" si="1"/>
        <v>127000</v>
      </c>
      <c r="N17" s="27"/>
    </row>
    <row r="18" spans="1:14" s="18" customFormat="1" x14ac:dyDescent="0.25">
      <c r="A18" s="26" t="s">
        <v>135</v>
      </c>
      <c r="B18" s="27"/>
      <c r="C18" s="27"/>
      <c r="D18" s="27"/>
      <c r="E18" s="27"/>
      <c r="F18" s="27"/>
      <c r="G18" s="27">
        <f>(B18+H18+K18+L18)*0.27</f>
        <v>40003.200000000004</v>
      </c>
      <c r="H18" s="27">
        <v>120000</v>
      </c>
      <c r="I18" s="27"/>
      <c r="J18" s="27"/>
      <c r="K18" s="27">
        <v>10000</v>
      </c>
      <c r="L18" s="27">
        <v>18160</v>
      </c>
      <c r="M18" s="27">
        <f t="shared" si="1"/>
        <v>188163.20000000001</v>
      </c>
      <c r="N18" s="27"/>
    </row>
    <row r="19" spans="1:14" s="18" customFormat="1" x14ac:dyDescent="0.25">
      <c r="A19" s="26" t="s">
        <v>149</v>
      </c>
      <c r="B19" s="27">
        <v>50000</v>
      </c>
      <c r="C19" s="27"/>
      <c r="D19" s="27"/>
      <c r="E19" s="27"/>
      <c r="F19" s="27"/>
      <c r="G19" s="27">
        <f>(B19+H19)*0.27</f>
        <v>62100.000000000007</v>
      </c>
      <c r="H19" s="27">
        <v>180000</v>
      </c>
      <c r="I19" s="27">
        <v>20000</v>
      </c>
      <c r="J19" s="27">
        <f>I19*0.5117</f>
        <v>10234</v>
      </c>
      <c r="K19" s="27"/>
      <c r="L19" s="27"/>
      <c r="M19" s="27">
        <f t="shared" si="1"/>
        <v>322334</v>
      </c>
      <c r="N19" s="27"/>
    </row>
    <row r="20" spans="1:14" s="18" customFormat="1" x14ac:dyDescent="0.25">
      <c r="A20" s="26" t="s">
        <v>144</v>
      </c>
      <c r="B20" s="27">
        <v>20000</v>
      </c>
      <c r="C20" s="27"/>
      <c r="D20" s="27"/>
      <c r="E20" s="27"/>
      <c r="F20" s="27">
        <v>10000</v>
      </c>
      <c r="G20" s="27">
        <f>(B20+F20+H20+K20)*0.27</f>
        <v>24300</v>
      </c>
      <c r="H20" s="27">
        <v>50000</v>
      </c>
      <c r="I20" s="27">
        <v>75000</v>
      </c>
      <c r="J20" s="27">
        <f>I20*0.5117</f>
        <v>38377.5</v>
      </c>
      <c r="K20" s="27">
        <v>10000</v>
      </c>
      <c r="L20" s="27"/>
      <c r="M20" s="27">
        <f t="shared" si="1"/>
        <v>227677.5</v>
      </c>
      <c r="N20" s="27"/>
    </row>
    <row r="21" spans="1:14" s="18" customFormat="1" x14ac:dyDescent="0.25">
      <c r="A21" s="26" t="s">
        <v>150</v>
      </c>
      <c r="B21" s="27">
        <v>70000</v>
      </c>
      <c r="C21" s="27"/>
      <c r="D21" s="27"/>
      <c r="E21" s="27"/>
      <c r="F21" s="27"/>
      <c r="G21" s="27">
        <f>(B21+H21)*0.27</f>
        <v>56700.000000000007</v>
      </c>
      <c r="H21" s="27">
        <v>140000</v>
      </c>
      <c r="I21" s="27">
        <v>20000</v>
      </c>
      <c r="J21" s="27">
        <f>I21*0.5117</f>
        <v>10234</v>
      </c>
      <c r="K21" s="27"/>
      <c r="L21" s="27"/>
      <c r="M21" s="27">
        <f t="shared" si="1"/>
        <v>296934</v>
      </c>
      <c r="N21" s="27"/>
    </row>
    <row r="22" spans="1:14" s="18" customFormat="1" x14ac:dyDescent="0.25">
      <c r="A22" s="26" t="s">
        <v>146</v>
      </c>
      <c r="B22" s="27">
        <v>10000</v>
      </c>
      <c r="C22" s="27"/>
      <c r="D22" s="27"/>
      <c r="E22" s="27"/>
      <c r="F22" s="27">
        <v>20000</v>
      </c>
      <c r="G22" s="27">
        <f>(B22+F22+H22)*0.27</f>
        <v>35100</v>
      </c>
      <c r="H22" s="27">
        <v>100000</v>
      </c>
      <c r="I22" s="27">
        <v>20000</v>
      </c>
      <c r="J22" s="27">
        <f>I22*0.5117</f>
        <v>10234</v>
      </c>
      <c r="K22" s="27"/>
      <c r="L22" s="27"/>
      <c r="M22" s="27">
        <f t="shared" si="1"/>
        <v>195334</v>
      </c>
      <c r="N22" s="27"/>
    </row>
    <row r="23" spans="1:14" s="25" customFormat="1" ht="14.25" x14ac:dyDescent="0.2">
      <c r="A23" s="22" t="s">
        <v>136</v>
      </c>
      <c r="B23" s="23">
        <f t="shared" ref="B23:M23" si="2">SUM(B15:B22)</f>
        <v>170000</v>
      </c>
      <c r="C23" s="23">
        <f t="shared" si="2"/>
        <v>0</v>
      </c>
      <c r="D23" s="23">
        <f t="shared" si="2"/>
        <v>0</v>
      </c>
      <c r="E23" s="23">
        <f t="shared" si="2"/>
        <v>0</v>
      </c>
      <c r="F23" s="23">
        <f t="shared" si="2"/>
        <v>100000</v>
      </c>
      <c r="G23" s="23">
        <f t="shared" si="2"/>
        <v>291103.2</v>
      </c>
      <c r="H23" s="23">
        <f t="shared" si="2"/>
        <v>770000</v>
      </c>
      <c r="I23" s="23">
        <f t="shared" si="2"/>
        <v>165000</v>
      </c>
      <c r="J23" s="23">
        <f t="shared" si="2"/>
        <v>84430.5</v>
      </c>
      <c r="K23" s="23">
        <f t="shared" si="2"/>
        <v>20000</v>
      </c>
      <c r="L23" s="23">
        <f t="shared" si="2"/>
        <v>18160</v>
      </c>
      <c r="M23" s="23">
        <f t="shared" si="2"/>
        <v>1618693.7</v>
      </c>
      <c r="N23" s="23">
        <f>SUM(N16:N22)</f>
        <v>0</v>
      </c>
    </row>
    <row r="24" spans="1:14" s="18" customFormat="1" x14ac:dyDescent="0.25">
      <c r="A24" s="22"/>
      <c r="B24" s="23"/>
      <c r="C24" s="27"/>
      <c r="D24" s="27"/>
      <c r="E24" s="23"/>
      <c r="F24" s="23"/>
      <c r="G24" s="23"/>
      <c r="H24" s="23"/>
      <c r="I24" s="23"/>
      <c r="J24" s="23"/>
      <c r="K24" s="23"/>
      <c r="L24" s="23"/>
      <c r="M24" s="23"/>
      <c r="N24" s="23"/>
    </row>
    <row r="25" spans="1:14" s="18" customFormat="1" x14ac:dyDescent="0.25">
      <c r="A25" s="22" t="s">
        <v>152</v>
      </c>
      <c r="B25" s="23"/>
      <c r="C25" s="27"/>
      <c r="D25" s="27"/>
      <c r="E25" s="23"/>
      <c r="F25" s="23">
        <v>100000</v>
      </c>
      <c r="G25" s="23">
        <f>(F25+H25+K25)*0.27</f>
        <v>110700.00000000001</v>
      </c>
      <c r="H25" s="23">
        <v>300000</v>
      </c>
      <c r="I25" s="23">
        <v>100000</v>
      </c>
      <c r="J25" s="23">
        <f>I25*0.5117</f>
        <v>51170.000000000007</v>
      </c>
      <c r="K25" s="23">
        <v>10000</v>
      </c>
      <c r="L25" s="23"/>
      <c r="M25" s="23">
        <f>SUM(B25:L25)</f>
        <v>671870</v>
      </c>
      <c r="N25" s="23"/>
    </row>
    <row r="26" spans="1:14" s="18" customFormat="1" x14ac:dyDescent="0.25">
      <c r="A26" s="22" t="s">
        <v>151</v>
      </c>
      <c r="B26" s="23">
        <v>50000</v>
      </c>
      <c r="C26" s="27"/>
      <c r="D26" s="27"/>
      <c r="E26" s="23"/>
      <c r="F26" s="23">
        <v>50000</v>
      </c>
      <c r="G26" s="23">
        <f>(B26+F26+H26+K26)*0.27</f>
        <v>110700.00000000001</v>
      </c>
      <c r="H26" s="23">
        <v>300000</v>
      </c>
      <c r="I26" s="23">
        <v>100000</v>
      </c>
      <c r="J26" s="23">
        <f>I26*0.5117</f>
        <v>51170.000000000007</v>
      </c>
      <c r="K26" s="23">
        <v>10000</v>
      </c>
      <c r="L26" s="23"/>
      <c r="M26" s="23">
        <f>SUM(B26:L26)</f>
        <v>671870</v>
      </c>
      <c r="N26" s="23"/>
    </row>
    <row r="27" spans="1:14" s="18" customFormat="1" x14ac:dyDescent="0.25">
      <c r="A27" s="22" t="s">
        <v>137</v>
      </c>
      <c r="B27" s="23">
        <v>35000</v>
      </c>
      <c r="C27" s="27"/>
      <c r="D27" s="23">
        <v>70000</v>
      </c>
      <c r="E27" s="23"/>
      <c r="F27" s="23">
        <v>595000</v>
      </c>
      <c r="G27" s="23">
        <f>(B27+D27+F27)*0.27</f>
        <v>189000</v>
      </c>
      <c r="H27" s="23"/>
      <c r="I27" s="23">
        <v>315000</v>
      </c>
      <c r="J27" s="23">
        <f>I27*0.5117</f>
        <v>161185.5</v>
      </c>
      <c r="K27" s="23"/>
      <c r="L27" s="23"/>
      <c r="M27" s="23">
        <f>SUM(B27:L27)</f>
        <v>1365185.5</v>
      </c>
      <c r="N27" s="23">
        <f>149000*7</f>
        <v>1043000</v>
      </c>
    </row>
    <row r="28" spans="1:14" x14ac:dyDescent="0.25">
      <c r="A28" s="5" t="s">
        <v>153</v>
      </c>
      <c r="B28" s="6">
        <f>SUM(B26:B27)</f>
        <v>85000</v>
      </c>
      <c r="C28" s="5"/>
      <c r="D28" s="6">
        <f>SUM(D27)</f>
        <v>70000</v>
      </c>
      <c r="E28" s="5"/>
      <c r="F28" s="6">
        <f t="shared" ref="F28:K28" si="3">SUM(F25:F27)</f>
        <v>745000</v>
      </c>
      <c r="G28" s="6">
        <f t="shared" si="3"/>
        <v>410400</v>
      </c>
      <c r="H28" s="6">
        <f t="shared" si="3"/>
        <v>600000</v>
      </c>
      <c r="I28" s="6">
        <f t="shared" si="3"/>
        <v>515000</v>
      </c>
      <c r="J28" s="6">
        <f t="shared" si="3"/>
        <v>263525.5</v>
      </c>
      <c r="K28" s="6">
        <f t="shared" si="3"/>
        <v>20000</v>
      </c>
      <c r="L28" s="5"/>
      <c r="M28" s="6">
        <f>SUM(M25:M27)</f>
        <v>2708925.5</v>
      </c>
      <c r="N28" s="5"/>
    </row>
    <row r="29" spans="1:14" ht="18.75" customHeight="1" x14ac:dyDescent="0.25">
      <c r="A29" s="22" t="s">
        <v>138</v>
      </c>
      <c r="B29" s="23">
        <f t="shared" ref="B29:M29" si="4">+B12+B23+B28</f>
        <v>485000</v>
      </c>
      <c r="C29" s="23">
        <f t="shared" si="4"/>
        <v>0</v>
      </c>
      <c r="D29" s="23">
        <f t="shared" si="4"/>
        <v>120000</v>
      </c>
      <c r="E29" s="23">
        <f t="shared" si="4"/>
        <v>1000</v>
      </c>
      <c r="F29" s="23">
        <f t="shared" si="4"/>
        <v>1410000</v>
      </c>
      <c r="G29" s="23">
        <f t="shared" si="4"/>
        <v>1094353.2</v>
      </c>
      <c r="H29" s="23">
        <f t="shared" si="4"/>
        <v>1970000</v>
      </c>
      <c r="I29" s="23">
        <f t="shared" si="4"/>
        <v>880000</v>
      </c>
      <c r="J29" s="23">
        <f t="shared" si="4"/>
        <v>450296</v>
      </c>
      <c r="K29" s="23">
        <f t="shared" si="4"/>
        <v>50000</v>
      </c>
      <c r="L29" s="23">
        <f t="shared" si="4"/>
        <v>18160</v>
      </c>
      <c r="M29" s="23">
        <f t="shared" si="4"/>
        <v>6478809.2000000002</v>
      </c>
      <c r="N29" s="23">
        <f>+N12+N23+N27</f>
        <v>1043000</v>
      </c>
    </row>
  </sheetData>
  <mergeCells count="1">
    <mergeCell ref="A1:N1"/>
  </mergeCells>
  <phoneticPr fontId="11" type="noConversion"/>
  <pageMargins left="0.25" right="0.25" top="0.75" bottom="0.75" header="0.3" footer="0.3"/>
  <pageSetup paperSize="9" scale="94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6</vt:i4>
      </vt:variant>
    </vt:vector>
  </HeadingPairs>
  <TitlesOfParts>
    <vt:vector size="10" baseType="lpstr">
      <vt:lpstr>Bevételek</vt:lpstr>
      <vt:lpstr>Költségek</vt:lpstr>
      <vt:lpstr>Munkabér+ járulék</vt:lpstr>
      <vt:lpstr>Szakmai program</vt:lpstr>
      <vt:lpstr>Költségek!Nyomtatási_cím</vt:lpstr>
      <vt:lpstr>'Munkabér+ járulék'!Nyomtatási_cím</vt:lpstr>
      <vt:lpstr>Bevételek!Nyomtatási_terület</vt:lpstr>
      <vt:lpstr>Költségek!Nyomtatási_terület</vt:lpstr>
      <vt:lpstr>'Munkabér+ járulék'!Nyomtatási_terület</vt:lpstr>
      <vt:lpstr>'Szakmai program'!Nyomtatási_terület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Gyula</dc:creator>
  <cp:lastModifiedBy>Tánczos Viktória Dr.</cp:lastModifiedBy>
  <cp:lastPrinted>2013-02-12T10:42:54Z</cp:lastPrinted>
  <dcterms:created xsi:type="dcterms:W3CDTF">2012-10-30T17:12:53Z</dcterms:created>
  <dcterms:modified xsi:type="dcterms:W3CDTF">2013-02-13T13:28:32Z</dcterms:modified>
</cp:coreProperties>
</file>