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drawings/drawing2.xml" ContentType="application/vnd.openxmlformats-officedocument.drawing+xml"/>
  <Override PartName="/xl/ctrlProps/ctrlProp12.xml" ContentType="application/vnd.ms-excel.controlproperti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Odonics Boglárka\Documents\OTIS\P3755_3756_Verseny_u_22\"/>
    </mc:Choice>
  </mc:AlternateContent>
  <xr:revisionPtr revIDLastSave="0" documentId="13_ncr:1_{B988C85D-35C5-429E-A42D-F6D7223D54E0}" xr6:coauthVersionLast="47" xr6:coauthVersionMax="47" xr10:uidLastSave="{00000000-0000-0000-0000-000000000000}"/>
  <bookViews>
    <workbookView xWindow="-120" yWindow="-120" windowWidth="29040" windowHeight="15840" tabRatio="805" activeTab="4" xr2:uid="{00000000-000D-0000-FFFF-FFFF00000000}"/>
  </bookViews>
  <sheets>
    <sheet name="ADATLAP" sheetId="1" r:id="rId1"/>
    <sheet name="E_T_A_T 1" sheetId="3" r:id="rId2"/>
    <sheet name="MŰSZ.ADAT 2" sheetId="2" r:id="rId3"/>
    <sheet name="ENGSZ 3" sheetId="10" r:id="rId4"/>
    <sheet name="FORGALOMSZÁMÍTÁS L1" sheetId="9" r:id="rId5"/>
  </sheets>
  <definedNames>
    <definedName name="_xlnm.Print_Area" localSheetId="0">ADATLAP!$A$1:$I$46</definedName>
    <definedName name="_xlnm.Print_Area" localSheetId="1">'E_T_A_T 1'!$A$1:$G$124</definedName>
    <definedName name="_xlnm.Print_Area" localSheetId="3">'ENGSZ 3'!$A$1:$I$49</definedName>
    <definedName name="_xlnm.Print_Area" localSheetId="4">'FORGALOMSZÁMÍTÁS L1'!$A$1:$M$75</definedName>
    <definedName name="_xlnm.Print_Area" localSheetId="2">'MŰSZ.ADAT 2'!$A$1:$I$42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2" i="10" l="1"/>
  <c r="J31" i="10"/>
  <c r="D30" i="10"/>
  <c r="J30" i="10"/>
  <c r="J29" i="10"/>
  <c r="E50" i="1"/>
  <c r="E49" i="1"/>
  <c r="E48" i="1"/>
  <c r="E47" i="1"/>
  <c r="E42" i="10" l="1"/>
  <c r="J41" i="10"/>
  <c r="E41" i="10" s="1"/>
  <c r="J36" i="10"/>
  <c r="D36" i="10" s="1"/>
  <c r="J33" i="10"/>
  <c r="H33" i="10" s="1"/>
  <c r="J32" i="10"/>
  <c r="H32" i="10" s="1"/>
  <c r="F31" i="10"/>
  <c r="D29" i="10"/>
  <c r="E45" i="1" l="1"/>
  <c r="E48" i="10" l="1"/>
  <c r="E46" i="10"/>
  <c r="L3" i="9"/>
  <c r="D84" i="1"/>
  <c r="D83" i="1"/>
  <c r="D82" i="1"/>
  <c r="D81" i="1"/>
  <c r="D80" i="1"/>
  <c r="D79" i="1"/>
  <c r="D78" i="1"/>
  <c r="H39" i="2" l="1"/>
  <c r="C46" i="10"/>
  <c r="H41" i="2"/>
  <c r="E123" i="3"/>
  <c r="D47" i="10"/>
  <c r="F3" i="9"/>
  <c r="B85" i="3"/>
  <c r="C88" i="3"/>
  <c r="F4" i="9" l="1"/>
  <c r="I1" i="10" l="1"/>
  <c r="F46" i="10" s="1"/>
  <c r="D6" i="9" l="1"/>
  <c r="J24" i="1" l="1"/>
  <c r="A118" i="3" s="1"/>
  <c r="H119" i="3"/>
  <c r="E46" i="1"/>
  <c r="C117" i="3" s="1"/>
  <c r="D62" i="1"/>
  <c r="D63" i="1"/>
  <c r="D64" i="1"/>
  <c r="D65" i="1"/>
  <c r="D66" i="1"/>
  <c r="D67" i="1"/>
  <c r="D61" i="1"/>
  <c r="H117" i="3" l="1"/>
  <c r="E115" i="3"/>
  <c r="A116" i="3"/>
  <c r="A117" i="3"/>
  <c r="A123" i="3"/>
  <c r="B93" i="3"/>
  <c r="B92" i="3"/>
  <c r="B91" i="3"/>
  <c r="B89" i="3"/>
  <c r="B27" i="3" l="1"/>
  <c r="L20" i="9"/>
  <c r="L19" i="9"/>
  <c r="D7" i="9"/>
  <c r="F5" i="9" l="1"/>
  <c r="D8" i="9"/>
  <c r="D9" i="9"/>
  <c r="K14" i="9"/>
  <c r="L16" i="9"/>
  <c r="H11" i="9" s="1"/>
  <c r="L17" i="9"/>
  <c r="H12" i="9" s="1"/>
  <c r="L18" i="9"/>
  <c r="H13" i="9" s="1"/>
  <c r="H22" i="9"/>
  <c r="L27" i="9"/>
  <c r="E30" i="9"/>
  <c r="N30" i="9"/>
  <c r="E31" i="9"/>
  <c r="N31" i="9"/>
  <c r="E32" i="9"/>
  <c r="N32" i="9"/>
  <c r="E33" i="9"/>
  <c r="N33" i="9"/>
  <c r="E34" i="9"/>
  <c r="N34" i="9"/>
  <c r="L35" i="9"/>
  <c r="L36" i="9"/>
  <c r="L48" i="9"/>
  <c r="J79" i="9" s="1"/>
  <c r="L54" i="9"/>
  <c r="N62" i="9"/>
  <c r="N63" i="9"/>
  <c r="L63" i="9" s="1"/>
  <c r="L64" i="9"/>
  <c r="N64" i="9"/>
  <c r="L65" i="9"/>
  <c r="N65" i="9"/>
  <c r="L66" i="9"/>
  <c r="N66" i="9"/>
  <c r="L69" i="9"/>
  <c r="C96" i="9"/>
  <c r="D96" i="9"/>
  <c r="C97" i="9"/>
  <c r="D97" i="9"/>
  <c r="C98" i="9"/>
  <c r="D98" i="9"/>
  <c r="C99" i="9"/>
  <c r="D99" i="9"/>
  <c r="C100" i="9"/>
  <c r="D100" i="9"/>
  <c r="C101" i="9"/>
  <c r="D101" i="9"/>
  <c r="C102" i="9"/>
  <c r="D102" i="9"/>
  <c r="C103" i="9"/>
  <c r="D103" i="9"/>
  <c r="C104" i="9"/>
  <c r="D104" i="9"/>
  <c r="C105" i="9"/>
  <c r="D105" i="9"/>
  <c r="C106" i="9"/>
  <c r="D106" i="9"/>
  <c r="C107" i="9"/>
  <c r="D107" i="9"/>
  <c r="C108" i="9"/>
  <c r="D108" i="9"/>
  <c r="C109" i="9"/>
  <c r="D109" i="9"/>
  <c r="C110" i="9"/>
  <c r="D110" i="9"/>
  <c r="C111" i="9"/>
  <c r="D111" i="9"/>
  <c r="C112" i="9"/>
  <c r="D112" i="9"/>
  <c r="C113" i="9"/>
  <c r="D113" i="9"/>
  <c r="C114" i="9"/>
  <c r="D114" i="9"/>
  <c r="C115" i="9"/>
  <c r="D115" i="9"/>
  <c r="C116" i="9"/>
  <c r="D116" i="9"/>
  <c r="C117" i="9"/>
  <c r="D117" i="9"/>
  <c r="C118" i="9"/>
  <c r="D118" i="9"/>
  <c r="C119" i="9"/>
  <c r="D119" i="9"/>
  <c r="C120" i="9"/>
  <c r="D120" i="9"/>
  <c r="C121" i="9"/>
  <c r="D121" i="9"/>
  <c r="C122" i="9"/>
  <c r="D122" i="9"/>
  <c r="C123" i="9"/>
  <c r="D123" i="9"/>
  <c r="C124" i="9"/>
  <c r="D124" i="9"/>
  <c r="C125" i="9"/>
  <c r="D125" i="9"/>
  <c r="C126" i="9"/>
  <c r="D126" i="9"/>
  <c r="K64" i="9" l="1"/>
  <c r="J89" i="9"/>
  <c r="H82" i="9"/>
  <c r="H92" i="9"/>
  <c r="F89" i="9"/>
  <c r="J81" i="9"/>
  <c r="D92" i="9"/>
  <c r="B89" i="9"/>
  <c r="F81" i="9"/>
  <c r="B81" i="9"/>
  <c r="D80" i="9"/>
  <c r="H79" i="9"/>
  <c r="F83" i="9"/>
  <c r="J91" i="9"/>
  <c r="H88" i="9"/>
  <c r="F91" i="9"/>
  <c r="D88" i="9"/>
  <c r="B91" i="9"/>
  <c r="J83" i="9"/>
  <c r="H90" i="9"/>
  <c r="D90" i="9"/>
  <c r="B83" i="9"/>
  <c r="K65" i="9"/>
  <c r="L62" i="9"/>
  <c r="L47" i="9"/>
  <c r="J13" i="9" s="1"/>
  <c r="L13" i="9" s="1"/>
  <c r="K63" i="9"/>
  <c r="K66" i="9"/>
  <c r="K62" i="9"/>
  <c r="L37" i="9"/>
  <c r="D91" i="9"/>
  <c r="H89" i="9"/>
  <c r="B88" i="9"/>
  <c r="F82" i="9"/>
  <c r="J80" i="9"/>
  <c r="F79" i="9"/>
  <c r="D82" i="9"/>
  <c r="H80" i="9"/>
  <c r="D79" i="9"/>
  <c r="F92" i="9"/>
  <c r="J90" i="9"/>
  <c r="D89" i="9"/>
  <c r="H83" i="9"/>
  <c r="B82" i="9"/>
  <c r="F80" i="9"/>
  <c r="B79" i="9"/>
  <c r="B92" i="9"/>
  <c r="F90" i="9"/>
  <c r="J88" i="9"/>
  <c r="D83" i="9"/>
  <c r="H81" i="9"/>
  <c r="B80" i="9"/>
  <c r="L49" i="9"/>
  <c r="M79" i="9"/>
  <c r="H91" i="9"/>
  <c r="B90" i="9"/>
  <c r="F88" i="9"/>
  <c r="J82" i="9"/>
  <c r="D81" i="9"/>
  <c r="L53" i="9" l="1"/>
  <c r="L55" i="9" s="1"/>
  <c r="L61" i="9" s="1"/>
  <c r="J27" i="9"/>
  <c r="L52" i="9"/>
  <c r="E29" i="1"/>
  <c r="L56" i="9" l="1"/>
  <c r="L57" i="9" s="1"/>
  <c r="B51" i="3"/>
  <c r="B32" i="3"/>
  <c r="B24" i="3"/>
  <c r="E26" i="1"/>
  <c r="F12" i="2" s="1"/>
  <c r="F19" i="2"/>
  <c r="E30" i="1"/>
  <c r="E34" i="1"/>
  <c r="G17" i="2" s="1"/>
  <c r="E35" i="1"/>
  <c r="E36" i="1"/>
  <c r="E44" i="1"/>
  <c r="F30" i="2" s="1"/>
  <c r="J54" i="1"/>
  <c r="E27" i="1" s="1"/>
  <c r="F13" i="2" s="1"/>
  <c r="F6" i="2"/>
  <c r="F14" i="2"/>
  <c r="F15" i="2"/>
  <c r="F16" i="2"/>
  <c r="F17" i="2"/>
  <c r="F26" i="2"/>
  <c r="F27" i="2"/>
  <c r="G27" i="2"/>
  <c r="F28" i="2"/>
  <c r="B29" i="2"/>
  <c r="F29" i="2"/>
  <c r="B36" i="2"/>
  <c r="F20" i="2" l="1"/>
  <c r="F24" i="2"/>
  <c r="F18" i="2"/>
  <c r="L59" i="9"/>
  <c r="L58" i="9"/>
  <c r="L60" i="9" l="1"/>
  <c r="L67" i="9" s="1"/>
  <c r="L71" i="9" l="1"/>
  <c r="J12" i="9" s="1"/>
  <c r="L68" i="9"/>
  <c r="L70" i="9"/>
  <c r="J11" i="9" s="1"/>
  <c r="L73" i="9"/>
  <c r="L72" i="9"/>
  <c r="L11" i="9" l="1"/>
  <c r="L12" i="9"/>
</calcChain>
</file>

<file path=xl/sharedStrings.xml><?xml version="1.0" encoding="utf-8"?>
<sst xmlns="http://schemas.openxmlformats.org/spreadsheetml/2006/main" count="644" uniqueCount="544">
  <si>
    <t>ADATLAP</t>
  </si>
  <si>
    <t>1.</t>
  </si>
  <si>
    <t>2.</t>
  </si>
  <si>
    <t>3.</t>
  </si>
  <si>
    <t>4.</t>
  </si>
  <si>
    <t>Építési engedélyt mi kérünk és a terveket leszámlázzuk.</t>
  </si>
  <si>
    <t>Építési engedélyt mi kérünk és a terveket nem számlázzuk.</t>
  </si>
  <si>
    <t>Építési engedélyt nem mi kérünk és a terveket leszámlázzuk.</t>
  </si>
  <si>
    <t>Építési engedélyt nem mi kérünk és a terveket nem számlázzuk.</t>
  </si>
  <si>
    <t>Megrendelő képviselőjének neve</t>
  </si>
  <si>
    <t>Megrendelő cég neve</t>
  </si>
  <si>
    <t>Megrendelő címe</t>
  </si>
  <si>
    <t>Város</t>
  </si>
  <si>
    <t>Ir.sz.</t>
  </si>
  <si>
    <t>OTIS eladó</t>
  </si>
  <si>
    <t>Üzemben tartó neve</t>
  </si>
  <si>
    <t>Felvonó telephely</t>
  </si>
  <si>
    <t>Utca, Hsz.</t>
  </si>
  <si>
    <t>Megnevezés</t>
  </si>
  <si>
    <t>Szerződéskötés dátuma</t>
  </si>
  <si>
    <t>Illetékes önkormányzat</t>
  </si>
  <si>
    <t>Kiállítás dátuma</t>
  </si>
  <si>
    <t>Munkaszám</t>
  </si>
  <si>
    <t>Tervszám</t>
  </si>
  <si>
    <t>Felvonó fajtája</t>
  </si>
  <si>
    <t>Teherbírás</t>
  </si>
  <si>
    <t>Névleges sebesség</t>
  </si>
  <si>
    <t>Vezérlés</t>
  </si>
  <si>
    <t>Vezetés módja</t>
  </si>
  <si>
    <t>Emelőmagasság</t>
  </si>
  <si>
    <t>Állomások száma</t>
  </si>
  <si>
    <t>Beszállóhelyek száma</t>
  </si>
  <si>
    <t>Beszállóhelyek helyzete</t>
  </si>
  <si>
    <t>Hajtás jellege</t>
  </si>
  <si>
    <t>Típus</t>
  </si>
  <si>
    <t>Indítások / hidraulikus ciklusok száma</t>
  </si>
  <si>
    <t>Gépház hőteljesítménye</t>
  </si>
  <si>
    <t>Gép hőteljesítménye</t>
  </si>
  <si>
    <t>Géptér hőteljesítménye</t>
  </si>
  <si>
    <t>Hálózati teljesítmény igény</t>
  </si>
  <si>
    <t>Áramfelvétel</t>
  </si>
  <si>
    <t>névl.</t>
  </si>
  <si>
    <t>ind.</t>
  </si>
  <si>
    <t>Használat módja</t>
  </si>
  <si>
    <t>MŰLEÍRÁS</t>
  </si>
  <si>
    <t>Rajzszám:</t>
  </si>
  <si>
    <t>Felvonó fajtája:</t>
  </si>
  <si>
    <t>Teherbírás:</t>
  </si>
  <si>
    <t>Névleges sebesség:</t>
  </si>
  <si>
    <t>Vezérlés:</t>
  </si>
  <si>
    <t>Vezetés módja:</t>
  </si>
  <si>
    <t>Emelőmagasság:</t>
  </si>
  <si>
    <t>Állomások száma:</t>
  </si>
  <si>
    <t>Beszállóhelyek száma:</t>
  </si>
  <si>
    <t>Hajtás jellege:</t>
  </si>
  <si>
    <t>Tápfeszültség:</t>
  </si>
  <si>
    <t>Hálózati teljesítmény igény:</t>
  </si>
  <si>
    <t>Áramfelvétel: névl. / ind.:</t>
  </si>
  <si>
    <t>Indítások száma:</t>
  </si>
  <si>
    <t>Használat módja:</t>
  </si>
  <si>
    <t>Pápai László</t>
  </si>
  <si>
    <t>személyfelvonó</t>
  </si>
  <si>
    <t>személy-teherfelvonó</t>
  </si>
  <si>
    <t>kisteherfelvonó</t>
  </si>
  <si>
    <t>kg</t>
  </si>
  <si>
    <t>fő</t>
  </si>
  <si>
    <t xml:space="preserve">= </t>
  </si>
  <si>
    <t xml:space="preserve">vagy </t>
  </si>
  <si>
    <t xml:space="preserve"> </t>
  </si>
  <si>
    <t>szimplex, le-fel irányban gyűjtő</t>
  </si>
  <si>
    <t>szimplex, le irányban gyűjtő</t>
  </si>
  <si>
    <t>duplex, le-fel irányban gyűjtő</t>
  </si>
  <si>
    <t>duplex, le irányban gyűjtő</t>
  </si>
  <si>
    <t>triplex, le-fel irányban gyűjtő</t>
  </si>
  <si>
    <t>triplex, le irányban gyűjtő</t>
  </si>
  <si>
    <t>egy oldalon</t>
  </si>
  <si>
    <t>két oldalon</t>
  </si>
  <si>
    <t>villamos</t>
  </si>
  <si>
    <t>villamos, szabályozott</t>
  </si>
  <si>
    <t>elektrohidraulikus</t>
  </si>
  <si>
    <t>felső</t>
  </si>
  <si>
    <t>alsó, oldalsó</t>
  </si>
  <si>
    <t>3 x 400 V, 50 Hz, TN - S</t>
  </si>
  <si>
    <t>Csak az egyik sort töltsd ki!</t>
  </si>
  <si>
    <t>felelős tervező</t>
  </si>
  <si>
    <t>teherfelvonó</t>
  </si>
  <si>
    <t>Gép helyzete:</t>
  </si>
  <si>
    <t>Gép helyzete</t>
  </si>
  <si>
    <t>felső, aknafejben, gépház nélkül</t>
  </si>
  <si>
    <t>alsó, süllyesztékben, gépház nélkül</t>
  </si>
  <si>
    <t>felső gépházban</t>
  </si>
  <si>
    <t>oldalsó gépházban</t>
  </si>
  <si>
    <t>oldalsó, hátsó gépházban</t>
  </si>
  <si>
    <t>alsó, oldalsó gépházban</t>
  </si>
  <si>
    <t>alsó, hátsó gépházban</t>
  </si>
  <si>
    <t>alsó, az akna közelében, gépházban</t>
  </si>
  <si>
    <t>alsó, az akna közelében, lemezszekrényben</t>
  </si>
  <si>
    <t>felső, oldalsó</t>
  </si>
  <si>
    <t>alsó</t>
  </si>
  <si>
    <t>TRAD</t>
  </si>
  <si>
    <t>TRAD-H</t>
  </si>
  <si>
    <t>ISO-A</t>
  </si>
  <si>
    <t>ISO-C</t>
  </si>
  <si>
    <t>ISO-D</t>
  </si>
  <si>
    <t>ISO-U</t>
  </si>
  <si>
    <t>ISO-Z</t>
  </si>
  <si>
    <t>kisteher</t>
  </si>
  <si>
    <t>személy</t>
  </si>
  <si>
    <t>teher</t>
  </si>
  <si>
    <t>Forgalomszámítás MSZ 15695 szerint</t>
  </si>
  <si>
    <t>Lakóépület: kiválasztás MSZ ISO 4190-6 szerint</t>
  </si>
  <si>
    <t>Forgalomszámítás nem kell</t>
  </si>
  <si>
    <t>Építtető</t>
  </si>
  <si>
    <t>Otis Felvonó Kft.</t>
  </si>
  <si>
    <t>Tel.: +36-1-430-4600</t>
  </si>
  <si>
    <t>Fax.: +36-1-430-4647</t>
  </si>
  <si>
    <t>hungary@otis.com</t>
  </si>
  <si>
    <r>
      <t xml:space="preserve">OTIS </t>
    </r>
    <r>
      <rPr>
        <sz val="12"/>
        <rFont val="Arial"/>
        <family val="2"/>
        <charset val="238"/>
      </rPr>
      <t>Felvonó Kft.</t>
    </r>
  </si>
  <si>
    <t>TARTALOM</t>
  </si>
  <si>
    <t>Épületre átadódó erők számítása</t>
  </si>
  <si>
    <t>Forgalmi képesség számítása</t>
  </si>
  <si>
    <t>Elrendezési terv</t>
  </si>
  <si>
    <t>Figyelem!</t>
  </si>
  <si>
    <t>Teherszállítás során a berakodásnál az esetlegesen használt rakodógép - illetve annak a rakodáskor a fülkét terhelő része - és a teher össztömege nem haladhatja meg a névleges teherbírás 140%-át (882 kg)!</t>
  </si>
  <si>
    <t>A rakodás módjának részleteiről a felvonó kivitelezőjével egyeztetni kell!</t>
  </si>
  <si>
    <t>A rakomány szállítása csak olyan szállítóeszközben történhet, amely számára a fülkére felszerelt mechanikus sorompó elegendő védelmet nyújt! A rakodás módjának részleteiről a felvonó kivitelezőjével egyeztetni kell!</t>
  </si>
  <si>
    <t>mindenki által vezethető</t>
  </si>
  <si>
    <t>mindenki által vagy kísérővel vezethető</t>
  </si>
  <si>
    <t>Építtető:</t>
  </si>
  <si>
    <t>Tervező:</t>
  </si>
  <si>
    <t>FELVONÓ TERVDOKUMENTÁCIÓ</t>
  </si>
  <si>
    <t>kijelölt személyek által vezethető</t>
  </si>
  <si>
    <t>egyparancsos</t>
  </si>
  <si>
    <t>szimplex, gyűjtő</t>
  </si>
  <si>
    <t>Létesítmény:</t>
  </si>
  <si>
    <t>Tervszám:</t>
  </si>
  <si>
    <t>Alulírott nyilatkozom, hogy a tervezésre jogosultsággal rendelkezem, névjegyzéki számom:</t>
  </si>
  <si>
    <t>• 312/2012. (XI. 8.) Korm. rendelet az építésügyi és építésfelügyeleti hatósági eljárásokról és ellenőrzésekről, valamint az építésügyi hatósági szolgáltatásról;</t>
  </si>
  <si>
    <t>• 146/2014. (V. 5.) Korm. rendelet a felvonókról, mozgólépcsőkről és mozgójárdákról;</t>
  </si>
  <si>
    <t>• 253/1997. (XII. 20.) Korm. rendelet az országos településrendezési és építési követelményekről (OTÉK) (többször módosítva);</t>
  </si>
  <si>
    <t>• MSZ 9113:2003/2. kiadás Felvonók létesítése. A felvonók épülettűzzel kapcsolatos kiegészítő követelményei;</t>
  </si>
  <si>
    <t>• MSZ 15695:2008 jelű Felvonók és mozgólépcsők létesítése. Építmények függőleges forgalomellátásának követelményei;</t>
  </si>
  <si>
    <t>• MSZ 15698:2013 Felvonók, mozgólépcsők és mozgójárdák egyes kiegészítő követelményei</t>
  </si>
  <si>
    <t>A felvonókra és mozgólépcsőkre vonatkozó műszaki előírásoktól bejelentett tanúsító szervezet tanúsítását igénylő eltérés nem vált szükségessé.</t>
  </si>
  <si>
    <t>• 16/2008. (VIII. 30.) NFGM rendelet a gépek biztonsági követelményeiről és megfelelőségének tanúsításáról;</t>
  </si>
  <si>
    <t xml:space="preserve">• MSZ EN 81-3:2000+A1:2009 jelű és módosítása a Felvonók szerkezetének és beépítésének biztonsági előírásai. 3. rész: Villamos és hidraulikus üzemű kisteher-felvonók; </t>
  </si>
  <si>
    <t>• MSZ EN 81-21:2010 jelű Felvonók szerkezetének és beépítésének biztonsági előírásai. Személy- és teherszállításra használt felvonók. 21. rész: Új személy- és személy-teher felvonók létesítése meglévő épületekben;</t>
  </si>
  <si>
    <t>• MSZ EN 81-71: 2005+A1:2007 jelű és módosítása Felvonók szerkezetének és beépítésének biztonsági előírásai. Személy- és teherfelvonók speciális alkalmazásai. 71. rész: Vandálbiztos felvonók;</t>
  </si>
  <si>
    <t>• MSZ EN 81-72: 2004 jelű Felvonók szerkezetének és beépítésének biztonsági előírásai. Személy- és teherfelvonók speciális alkalmazásai. 72. rész: Biztonsági felvonók;</t>
  </si>
  <si>
    <r>
      <t>t</t>
    </r>
    <r>
      <rPr>
        <vertAlign val="subscript"/>
        <sz val="9"/>
        <rFont val="Arial CE"/>
        <family val="2"/>
        <charset val="238"/>
      </rPr>
      <t>2</t>
    </r>
  </si>
  <si>
    <t>ajtó-szélesség</t>
  </si>
  <si>
    <t>teleszkóp.</t>
  </si>
  <si>
    <t>centrál</t>
  </si>
  <si>
    <t>szélesség</t>
  </si>
  <si>
    <r>
      <t xml:space="preserve">Beszállási idő utasonként ( </t>
    </r>
    <r>
      <rPr>
        <b/>
        <sz val="8"/>
        <rFont val="Arial CE"/>
        <family val="2"/>
        <charset val="238"/>
      </rPr>
      <t>t</t>
    </r>
    <r>
      <rPr>
        <b/>
        <vertAlign val="subscript"/>
        <sz val="8"/>
        <rFont val="Arial CE"/>
        <family val="2"/>
        <charset val="238"/>
      </rPr>
      <t xml:space="preserve">2 </t>
    </r>
    <r>
      <rPr>
        <sz val="8"/>
        <rFont val="Arial CE"/>
        <family val="2"/>
        <charset val="238"/>
      </rPr>
      <t>) [s]:</t>
    </r>
  </si>
  <si>
    <r>
      <t xml:space="preserve">Ajtónyitási és csukási idők előnyitás nélkül ( </t>
    </r>
    <r>
      <rPr>
        <b/>
        <sz val="8"/>
        <rFont val="Arial CE"/>
        <family val="2"/>
        <charset val="238"/>
      </rPr>
      <t>t</t>
    </r>
    <r>
      <rPr>
        <b/>
        <vertAlign val="subscript"/>
        <sz val="8"/>
        <rFont val="Arial CE"/>
        <family val="2"/>
        <charset val="238"/>
      </rPr>
      <t xml:space="preserve">1 </t>
    </r>
    <r>
      <rPr>
        <sz val="8"/>
        <rFont val="Arial CE"/>
        <family val="2"/>
        <charset val="238"/>
      </rPr>
      <t>) [s]:</t>
    </r>
  </si>
  <si>
    <r>
      <t>P</t>
    </r>
    <r>
      <rPr>
        <vertAlign val="subscript"/>
        <sz val="9"/>
        <rFont val="Arial CE"/>
        <family val="2"/>
        <charset val="238"/>
      </rPr>
      <t>1</t>
    </r>
    <r>
      <rPr>
        <sz val="9"/>
        <rFont val="Arial CE"/>
        <family val="2"/>
        <charset val="238"/>
      </rPr>
      <t>..P</t>
    </r>
    <r>
      <rPr>
        <vertAlign val="subscript"/>
        <sz val="9"/>
        <rFont val="Arial CE"/>
        <family val="2"/>
        <charset val="238"/>
      </rPr>
      <t>N-1</t>
    </r>
    <r>
      <rPr>
        <sz val="9"/>
        <rFont val="Arial CE"/>
        <family val="2"/>
        <charset val="238"/>
      </rPr>
      <t>/P=</t>
    </r>
  </si>
  <si>
    <r>
      <t>P</t>
    </r>
    <r>
      <rPr>
        <vertAlign val="subscript"/>
        <sz val="9"/>
        <rFont val="Arial CE"/>
        <family val="2"/>
        <charset val="238"/>
      </rPr>
      <t>1</t>
    </r>
    <r>
      <rPr>
        <sz val="9"/>
        <rFont val="Arial CE"/>
        <family val="2"/>
        <charset val="238"/>
      </rPr>
      <t>..P</t>
    </r>
    <r>
      <rPr>
        <vertAlign val="subscript"/>
        <sz val="9"/>
        <rFont val="Arial CE"/>
        <family val="2"/>
        <charset val="238"/>
      </rPr>
      <t>23</t>
    </r>
    <r>
      <rPr>
        <sz val="9"/>
        <rFont val="Arial CE"/>
        <family val="2"/>
        <charset val="238"/>
      </rPr>
      <t>/P=</t>
    </r>
  </si>
  <si>
    <r>
      <t>P</t>
    </r>
    <r>
      <rPr>
        <vertAlign val="subscript"/>
        <sz val="9"/>
        <rFont val="Arial CE"/>
        <family val="2"/>
        <charset val="238"/>
      </rPr>
      <t>1</t>
    </r>
    <r>
      <rPr>
        <sz val="9"/>
        <rFont val="Arial CE"/>
        <family val="2"/>
        <charset val="238"/>
      </rPr>
      <t>..P</t>
    </r>
    <r>
      <rPr>
        <vertAlign val="subscript"/>
        <sz val="9"/>
        <rFont val="Arial CE"/>
        <family val="2"/>
        <charset val="238"/>
      </rPr>
      <t>22</t>
    </r>
    <r>
      <rPr>
        <sz val="9"/>
        <rFont val="Arial CE"/>
        <family val="2"/>
        <charset val="238"/>
      </rPr>
      <t>/P=</t>
    </r>
  </si>
  <si>
    <r>
      <t>P</t>
    </r>
    <r>
      <rPr>
        <vertAlign val="subscript"/>
        <sz val="9"/>
        <rFont val="Arial CE"/>
        <family val="2"/>
        <charset val="238"/>
      </rPr>
      <t>1</t>
    </r>
    <r>
      <rPr>
        <sz val="9"/>
        <rFont val="Arial CE"/>
        <family val="2"/>
        <charset val="238"/>
      </rPr>
      <t>..P</t>
    </r>
    <r>
      <rPr>
        <vertAlign val="subscript"/>
        <sz val="9"/>
        <rFont val="Arial CE"/>
        <family val="2"/>
        <charset val="238"/>
      </rPr>
      <t>21</t>
    </r>
    <r>
      <rPr>
        <sz val="9"/>
        <rFont val="Arial CE"/>
        <family val="2"/>
        <charset val="238"/>
      </rPr>
      <t>/P=</t>
    </r>
  </si>
  <si>
    <t>Meglévő, műemlék épületre a szabvány nem vonatkozik, ezért a szabvány követelményeit sem kell betartani. A számítás eredményei tájékoztatásra szolgálnak.</t>
  </si>
  <si>
    <r>
      <t>P</t>
    </r>
    <r>
      <rPr>
        <vertAlign val="subscript"/>
        <sz val="9"/>
        <rFont val="Arial CE"/>
        <family val="2"/>
        <charset val="238"/>
      </rPr>
      <t>1</t>
    </r>
    <r>
      <rPr>
        <sz val="9"/>
        <rFont val="Arial CE"/>
        <family val="2"/>
        <charset val="238"/>
      </rPr>
      <t>..P</t>
    </r>
    <r>
      <rPr>
        <vertAlign val="subscript"/>
        <sz val="9"/>
        <rFont val="Arial CE"/>
        <family val="2"/>
        <charset val="238"/>
      </rPr>
      <t>19</t>
    </r>
    <r>
      <rPr>
        <sz val="9"/>
        <rFont val="Arial CE"/>
        <family val="2"/>
        <charset val="238"/>
      </rPr>
      <t>/P=</t>
    </r>
  </si>
  <si>
    <r>
      <t>P</t>
    </r>
    <r>
      <rPr>
        <vertAlign val="subscript"/>
        <sz val="9"/>
        <rFont val="Arial CE"/>
        <family val="2"/>
        <charset val="238"/>
      </rPr>
      <t>1</t>
    </r>
    <r>
      <rPr>
        <sz val="9"/>
        <rFont val="Arial CE"/>
        <family val="2"/>
        <charset val="238"/>
      </rPr>
      <t>..P</t>
    </r>
    <r>
      <rPr>
        <vertAlign val="subscript"/>
        <sz val="9"/>
        <rFont val="Arial CE"/>
        <family val="2"/>
        <charset val="238"/>
      </rPr>
      <t>18</t>
    </r>
    <r>
      <rPr>
        <sz val="9"/>
        <rFont val="Arial CE"/>
        <family val="2"/>
        <charset val="238"/>
      </rPr>
      <t>/P=</t>
    </r>
  </si>
  <si>
    <r>
      <t>P</t>
    </r>
    <r>
      <rPr>
        <vertAlign val="subscript"/>
        <sz val="9"/>
        <rFont val="Arial CE"/>
        <family val="2"/>
        <charset val="238"/>
      </rPr>
      <t>1</t>
    </r>
    <r>
      <rPr>
        <sz val="9"/>
        <rFont val="Arial CE"/>
        <family val="2"/>
        <charset val="238"/>
      </rPr>
      <t>..P</t>
    </r>
    <r>
      <rPr>
        <vertAlign val="subscript"/>
        <sz val="9"/>
        <rFont val="Arial CE"/>
        <family val="2"/>
        <charset val="238"/>
      </rPr>
      <t>17</t>
    </r>
    <r>
      <rPr>
        <sz val="9"/>
        <rFont val="Arial CE"/>
        <family val="2"/>
        <charset val="238"/>
      </rPr>
      <t>/P=</t>
    </r>
  </si>
  <si>
    <r>
      <t>P</t>
    </r>
    <r>
      <rPr>
        <vertAlign val="subscript"/>
        <sz val="9"/>
        <rFont val="Arial CE"/>
        <family val="2"/>
        <charset val="238"/>
      </rPr>
      <t>1</t>
    </r>
    <r>
      <rPr>
        <sz val="9"/>
        <rFont val="Arial CE"/>
        <family val="2"/>
        <charset val="238"/>
      </rPr>
      <t>..P</t>
    </r>
    <r>
      <rPr>
        <vertAlign val="subscript"/>
        <sz val="9"/>
        <rFont val="Arial CE"/>
        <family val="2"/>
        <charset val="238"/>
      </rPr>
      <t>16</t>
    </r>
    <r>
      <rPr>
        <sz val="9"/>
        <rFont val="Arial CE"/>
        <family val="2"/>
        <charset val="238"/>
      </rPr>
      <t>/P=</t>
    </r>
  </si>
  <si>
    <r>
      <t>P</t>
    </r>
    <r>
      <rPr>
        <vertAlign val="subscript"/>
        <sz val="9"/>
        <rFont val="Arial CE"/>
        <family val="2"/>
        <charset val="238"/>
      </rPr>
      <t>1</t>
    </r>
    <r>
      <rPr>
        <sz val="9"/>
        <rFont val="Arial CE"/>
        <family val="2"/>
        <charset val="238"/>
      </rPr>
      <t>..P</t>
    </r>
    <r>
      <rPr>
        <vertAlign val="subscript"/>
        <sz val="9"/>
        <rFont val="Arial CE"/>
        <family val="2"/>
        <charset val="238"/>
      </rPr>
      <t>15</t>
    </r>
    <r>
      <rPr>
        <sz val="9"/>
        <rFont val="Arial CE"/>
        <family val="2"/>
        <charset val="238"/>
      </rPr>
      <t>/P=</t>
    </r>
  </si>
  <si>
    <r>
      <t>P</t>
    </r>
    <r>
      <rPr>
        <vertAlign val="subscript"/>
        <sz val="9"/>
        <rFont val="Arial CE"/>
        <family val="2"/>
        <charset val="238"/>
      </rPr>
      <t>1</t>
    </r>
    <r>
      <rPr>
        <sz val="9"/>
        <rFont val="Arial CE"/>
        <family val="2"/>
        <charset val="238"/>
      </rPr>
      <t>..P</t>
    </r>
    <r>
      <rPr>
        <vertAlign val="subscript"/>
        <sz val="9"/>
        <rFont val="Arial CE"/>
        <family val="2"/>
        <charset val="238"/>
      </rPr>
      <t>14</t>
    </r>
    <r>
      <rPr>
        <sz val="9"/>
        <rFont val="Arial CE"/>
        <family val="2"/>
        <charset val="238"/>
      </rPr>
      <t>/P=</t>
    </r>
  </si>
  <si>
    <r>
      <t>P</t>
    </r>
    <r>
      <rPr>
        <vertAlign val="subscript"/>
        <sz val="9"/>
        <rFont val="Arial CE"/>
        <family val="2"/>
        <charset val="238"/>
      </rPr>
      <t>1</t>
    </r>
    <r>
      <rPr>
        <sz val="9"/>
        <rFont val="Arial CE"/>
        <family val="2"/>
        <charset val="238"/>
      </rPr>
      <t>..P</t>
    </r>
    <r>
      <rPr>
        <vertAlign val="subscript"/>
        <sz val="9"/>
        <rFont val="Arial CE"/>
        <family val="2"/>
        <charset val="238"/>
      </rPr>
      <t>13</t>
    </r>
    <r>
      <rPr>
        <sz val="9"/>
        <rFont val="Arial CE"/>
        <family val="2"/>
        <charset val="238"/>
      </rPr>
      <t>/P=</t>
    </r>
  </si>
  <si>
    <r>
      <t>P</t>
    </r>
    <r>
      <rPr>
        <vertAlign val="subscript"/>
        <sz val="9"/>
        <rFont val="Arial CE"/>
        <family val="2"/>
        <charset val="238"/>
      </rPr>
      <t>1</t>
    </r>
    <r>
      <rPr>
        <sz val="9"/>
        <rFont val="Arial CE"/>
        <family val="2"/>
        <charset val="238"/>
      </rPr>
      <t>..P</t>
    </r>
    <r>
      <rPr>
        <vertAlign val="subscript"/>
        <sz val="9"/>
        <rFont val="Arial CE"/>
        <family val="2"/>
        <charset val="238"/>
      </rPr>
      <t>12</t>
    </r>
    <r>
      <rPr>
        <sz val="9"/>
        <rFont val="Arial CE"/>
        <family val="2"/>
        <charset val="238"/>
      </rPr>
      <t>/P=</t>
    </r>
  </si>
  <si>
    <r>
      <t>P</t>
    </r>
    <r>
      <rPr>
        <vertAlign val="subscript"/>
        <sz val="9"/>
        <rFont val="Arial CE"/>
        <family val="2"/>
        <charset val="238"/>
      </rPr>
      <t>1</t>
    </r>
    <r>
      <rPr>
        <sz val="9"/>
        <rFont val="Arial CE"/>
        <family val="2"/>
        <charset val="238"/>
      </rPr>
      <t>..P</t>
    </r>
    <r>
      <rPr>
        <vertAlign val="subscript"/>
        <sz val="9"/>
        <rFont val="Arial CE"/>
        <family val="2"/>
        <charset val="238"/>
      </rPr>
      <t>11</t>
    </r>
    <r>
      <rPr>
        <sz val="9"/>
        <rFont val="Arial CE"/>
        <family val="2"/>
        <charset val="238"/>
      </rPr>
      <t>/P=</t>
    </r>
  </si>
  <si>
    <r>
      <t>P</t>
    </r>
    <r>
      <rPr>
        <vertAlign val="subscript"/>
        <sz val="9"/>
        <rFont val="Arial CE"/>
        <family val="2"/>
        <charset val="238"/>
      </rPr>
      <t>1</t>
    </r>
    <r>
      <rPr>
        <sz val="9"/>
        <rFont val="Arial CE"/>
        <family val="2"/>
        <charset val="238"/>
      </rPr>
      <t>..P</t>
    </r>
    <r>
      <rPr>
        <vertAlign val="subscript"/>
        <sz val="9"/>
        <rFont val="Arial CE"/>
        <family val="2"/>
        <charset val="238"/>
      </rPr>
      <t>10</t>
    </r>
    <r>
      <rPr>
        <sz val="9"/>
        <rFont val="Arial CE"/>
        <family val="2"/>
        <charset val="238"/>
      </rPr>
      <t>/P=</t>
    </r>
  </si>
  <si>
    <r>
      <t>P</t>
    </r>
    <r>
      <rPr>
        <vertAlign val="subscript"/>
        <sz val="9"/>
        <rFont val="Arial CE"/>
        <family val="2"/>
        <charset val="238"/>
      </rPr>
      <t>1</t>
    </r>
    <r>
      <rPr>
        <sz val="9"/>
        <rFont val="Arial CE"/>
        <family val="2"/>
        <charset val="238"/>
      </rPr>
      <t>..P</t>
    </r>
    <r>
      <rPr>
        <vertAlign val="subscript"/>
        <sz val="9"/>
        <rFont val="Arial CE"/>
        <family val="2"/>
        <charset val="238"/>
      </rPr>
      <t>9</t>
    </r>
    <r>
      <rPr>
        <sz val="9"/>
        <rFont val="Arial CE"/>
        <family val="2"/>
        <charset val="238"/>
      </rPr>
      <t>/P=</t>
    </r>
  </si>
  <si>
    <r>
      <t>P</t>
    </r>
    <r>
      <rPr>
        <vertAlign val="subscript"/>
        <sz val="9"/>
        <rFont val="Arial CE"/>
        <family val="2"/>
        <charset val="238"/>
      </rPr>
      <t>1</t>
    </r>
    <r>
      <rPr>
        <sz val="9"/>
        <rFont val="Arial CE"/>
        <family val="2"/>
        <charset val="238"/>
      </rPr>
      <t>..P</t>
    </r>
    <r>
      <rPr>
        <vertAlign val="subscript"/>
        <sz val="9"/>
        <rFont val="Arial CE"/>
        <family val="2"/>
        <charset val="238"/>
      </rPr>
      <t>8</t>
    </r>
    <r>
      <rPr>
        <sz val="9"/>
        <rFont val="Arial CE"/>
        <family val="2"/>
        <charset val="238"/>
      </rPr>
      <t>/P=</t>
    </r>
  </si>
  <si>
    <r>
      <t>P</t>
    </r>
    <r>
      <rPr>
        <vertAlign val="subscript"/>
        <sz val="9"/>
        <rFont val="Arial CE"/>
        <family val="2"/>
        <charset val="238"/>
      </rPr>
      <t>1</t>
    </r>
    <r>
      <rPr>
        <sz val="9"/>
        <rFont val="Arial CE"/>
        <family val="2"/>
        <charset val="238"/>
      </rPr>
      <t>..P</t>
    </r>
    <r>
      <rPr>
        <vertAlign val="subscript"/>
        <sz val="9"/>
        <rFont val="Arial CE"/>
        <family val="2"/>
        <charset val="238"/>
      </rPr>
      <t>7</t>
    </r>
    <r>
      <rPr>
        <sz val="9"/>
        <rFont val="Arial CE"/>
        <family val="2"/>
        <charset val="238"/>
      </rPr>
      <t>/P=</t>
    </r>
  </si>
  <si>
    <r>
      <t>P</t>
    </r>
    <r>
      <rPr>
        <vertAlign val="subscript"/>
        <sz val="9"/>
        <rFont val="Arial CE"/>
        <family val="2"/>
        <charset val="238"/>
      </rPr>
      <t>1</t>
    </r>
    <r>
      <rPr>
        <sz val="9"/>
        <rFont val="Arial CE"/>
        <family val="2"/>
        <charset val="238"/>
      </rPr>
      <t>..P</t>
    </r>
    <r>
      <rPr>
        <vertAlign val="subscript"/>
        <sz val="9"/>
        <rFont val="Arial CE"/>
        <family val="2"/>
        <charset val="238"/>
      </rPr>
      <t>6</t>
    </r>
    <r>
      <rPr>
        <sz val="9"/>
        <rFont val="Arial CE"/>
        <family val="2"/>
        <charset val="238"/>
      </rPr>
      <t>/P=</t>
    </r>
  </si>
  <si>
    <t>A számítás a szabvány 3.25. pontja szerinti befogadóképességet veszi figyelembe.</t>
  </si>
  <si>
    <r>
      <t>P</t>
    </r>
    <r>
      <rPr>
        <vertAlign val="subscript"/>
        <sz val="9"/>
        <rFont val="Arial CE"/>
        <family val="2"/>
        <charset val="238"/>
      </rPr>
      <t>1</t>
    </r>
    <r>
      <rPr>
        <sz val="9"/>
        <rFont val="Arial CE"/>
        <family val="2"/>
        <charset val="238"/>
      </rPr>
      <t>..P</t>
    </r>
    <r>
      <rPr>
        <vertAlign val="subscript"/>
        <sz val="9"/>
        <rFont val="Arial CE"/>
        <family val="2"/>
        <charset val="238"/>
      </rPr>
      <t>5</t>
    </r>
    <r>
      <rPr>
        <sz val="9"/>
        <rFont val="Arial CE"/>
        <family val="2"/>
        <charset val="238"/>
      </rPr>
      <t>/P=</t>
    </r>
  </si>
  <si>
    <r>
      <t>P</t>
    </r>
    <r>
      <rPr>
        <vertAlign val="subscript"/>
        <sz val="9"/>
        <rFont val="Arial CE"/>
        <family val="2"/>
        <charset val="238"/>
      </rPr>
      <t>1</t>
    </r>
    <r>
      <rPr>
        <sz val="9"/>
        <rFont val="Arial CE"/>
        <family val="2"/>
        <charset val="238"/>
      </rPr>
      <t>..P</t>
    </r>
    <r>
      <rPr>
        <vertAlign val="subscript"/>
        <sz val="9"/>
        <rFont val="Arial CE"/>
        <family val="2"/>
        <charset val="238"/>
      </rPr>
      <t>4</t>
    </r>
    <r>
      <rPr>
        <sz val="9"/>
        <rFont val="Arial CE"/>
        <family val="2"/>
        <charset val="238"/>
      </rPr>
      <t>/P=</t>
    </r>
  </si>
  <si>
    <r>
      <t>P</t>
    </r>
    <r>
      <rPr>
        <vertAlign val="subscript"/>
        <sz val="9"/>
        <rFont val="Arial CE"/>
        <family val="2"/>
        <charset val="238"/>
      </rPr>
      <t>1</t>
    </r>
    <r>
      <rPr>
        <sz val="9"/>
        <rFont val="Arial CE"/>
        <family val="2"/>
        <charset val="238"/>
      </rPr>
      <t>..P</t>
    </r>
    <r>
      <rPr>
        <vertAlign val="subscript"/>
        <sz val="9"/>
        <rFont val="Arial CE"/>
        <family val="2"/>
        <charset val="238"/>
      </rPr>
      <t>3</t>
    </r>
    <r>
      <rPr>
        <sz val="9"/>
        <rFont val="Arial CE"/>
        <family val="2"/>
        <charset val="238"/>
      </rPr>
      <t>/P=</t>
    </r>
  </si>
  <si>
    <r>
      <t>(P</t>
    </r>
    <r>
      <rPr>
        <vertAlign val="subscript"/>
        <sz val="9"/>
        <rFont val="Arial CE"/>
        <family val="2"/>
        <charset val="238"/>
      </rPr>
      <t>1</t>
    </r>
    <r>
      <rPr>
        <sz val="9"/>
        <rFont val="Arial CE"/>
        <family val="2"/>
        <charset val="238"/>
      </rPr>
      <t>+P</t>
    </r>
    <r>
      <rPr>
        <vertAlign val="subscript"/>
        <sz val="9"/>
        <rFont val="Arial CE"/>
        <family val="2"/>
        <charset val="238"/>
      </rPr>
      <t>2)</t>
    </r>
    <r>
      <rPr>
        <sz val="9"/>
        <rFont val="Arial CE"/>
        <family val="2"/>
        <charset val="238"/>
      </rPr>
      <t>/P=</t>
    </r>
  </si>
  <si>
    <r>
      <t>P</t>
    </r>
    <r>
      <rPr>
        <vertAlign val="subscript"/>
        <sz val="9"/>
        <rFont val="Arial CE"/>
        <family val="2"/>
        <charset val="238"/>
      </rPr>
      <t>1</t>
    </r>
    <r>
      <rPr>
        <sz val="9"/>
        <rFont val="Arial CE"/>
        <family val="2"/>
        <charset val="238"/>
      </rPr>
      <t>/P=</t>
    </r>
  </si>
  <si>
    <t>i=1</t>
  </si>
  <si>
    <r>
      <t>∑ P</t>
    </r>
    <r>
      <rPr>
        <b/>
        <vertAlign val="subscript"/>
        <sz val="12"/>
        <rFont val="Times New Roman"/>
        <family val="1"/>
      </rPr>
      <t>i</t>
    </r>
    <r>
      <rPr>
        <b/>
        <sz val="12"/>
        <rFont val="Times New Roman"/>
        <family val="1"/>
      </rPr>
      <t xml:space="preserve"> / P</t>
    </r>
  </si>
  <si>
    <t>Felvonó beépítését az épületbe jogszabály nem teszi kötelezővé, ezért a szabvány követelményeit sem kell betartani. A számítás eredményei tájékoztatásra szolgálnak.</t>
  </si>
  <si>
    <t>j</t>
  </si>
  <si>
    <r>
      <t>P</t>
    </r>
    <r>
      <rPr>
        <vertAlign val="subscript"/>
        <sz val="9"/>
        <rFont val="Arial CE"/>
        <family val="2"/>
        <charset val="238"/>
      </rPr>
      <t>N</t>
    </r>
    <r>
      <rPr>
        <sz val="9"/>
        <rFont val="Arial CE"/>
        <family val="2"/>
        <charset val="238"/>
      </rPr>
      <t>/P=</t>
    </r>
  </si>
  <si>
    <r>
      <t>P</t>
    </r>
    <r>
      <rPr>
        <vertAlign val="subscript"/>
        <sz val="9"/>
        <rFont val="Arial CE"/>
        <family val="2"/>
        <charset val="238"/>
      </rPr>
      <t>24</t>
    </r>
    <r>
      <rPr>
        <sz val="9"/>
        <rFont val="Arial CE"/>
        <family val="2"/>
        <charset val="238"/>
      </rPr>
      <t>/P=</t>
    </r>
  </si>
  <si>
    <r>
      <t>P</t>
    </r>
    <r>
      <rPr>
        <vertAlign val="subscript"/>
        <sz val="9"/>
        <rFont val="Arial CE"/>
        <family val="2"/>
        <charset val="238"/>
      </rPr>
      <t>22</t>
    </r>
    <r>
      <rPr>
        <sz val="9"/>
        <rFont val="Arial CE"/>
        <family val="2"/>
        <charset val="238"/>
      </rPr>
      <t>/P=</t>
    </r>
  </si>
  <si>
    <r>
      <t>P</t>
    </r>
    <r>
      <rPr>
        <vertAlign val="subscript"/>
        <sz val="9"/>
        <rFont val="Arial CE"/>
        <family val="2"/>
        <charset val="238"/>
      </rPr>
      <t>21</t>
    </r>
    <r>
      <rPr>
        <sz val="9"/>
        <rFont val="Arial CE"/>
        <family val="2"/>
        <charset val="238"/>
      </rPr>
      <t>/P=</t>
    </r>
  </si>
  <si>
    <r>
      <t>P</t>
    </r>
    <r>
      <rPr>
        <vertAlign val="subscript"/>
        <sz val="9"/>
        <rFont val="Arial CE"/>
        <family val="2"/>
        <charset val="238"/>
      </rPr>
      <t>19</t>
    </r>
    <r>
      <rPr>
        <sz val="9"/>
        <rFont val="Arial CE"/>
        <family val="2"/>
        <charset val="238"/>
      </rPr>
      <t>/P=</t>
    </r>
  </si>
  <si>
    <r>
      <t>P</t>
    </r>
    <r>
      <rPr>
        <vertAlign val="subscript"/>
        <sz val="9"/>
        <rFont val="Arial CE"/>
        <family val="2"/>
        <charset val="238"/>
      </rPr>
      <t>18</t>
    </r>
    <r>
      <rPr>
        <sz val="9"/>
        <rFont val="Arial CE"/>
        <family val="2"/>
        <charset val="238"/>
      </rPr>
      <t>/P=</t>
    </r>
  </si>
  <si>
    <r>
      <t>P</t>
    </r>
    <r>
      <rPr>
        <vertAlign val="subscript"/>
        <sz val="9"/>
        <rFont val="Arial CE"/>
        <family val="2"/>
        <charset val="238"/>
      </rPr>
      <t>17</t>
    </r>
    <r>
      <rPr>
        <sz val="9"/>
        <rFont val="Arial CE"/>
        <family val="2"/>
        <charset val="238"/>
      </rPr>
      <t>/P=</t>
    </r>
  </si>
  <si>
    <r>
      <t>P</t>
    </r>
    <r>
      <rPr>
        <vertAlign val="subscript"/>
        <sz val="9"/>
        <rFont val="Arial CE"/>
        <family val="2"/>
        <charset val="238"/>
      </rPr>
      <t>16</t>
    </r>
    <r>
      <rPr>
        <sz val="9"/>
        <rFont val="Arial CE"/>
        <family val="2"/>
        <charset val="238"/>
      </rPr>
      <t>/P=</t>
    </r>
  </si>
  <si>
    <t>A számítás a szabvány 3.11. pontja szerint a névlegesnél kisebb befogadóképességet vesz figyelembe. Meglévő épületre a szabvány követelményei nem kötelezőek. A számítás eredményei tájékoztatásra szolgálnak.</t>
  </si>
  <si>
    <r>
      <t>P</t>
    </r>
    <r>
      <rPr>
        <vertAlign val="subscript"/>
        <sz val="9"/>
        <rFont val="Arial CE"/>
        <family val="2"/>
        <charset val="238"/>
      </rPr>
      <t>15</t>
    </r>
    <r>
      <rPr>
        <sz val="9"/>
        <rFont val="Arial CE"/>
        <family val="2"/>
        <charset val="238"/>
      </rPr>
      <t>/P=</t>
    </r>
  </si>
  <si>
    <r>
      <t>P</t>
    </r>
    <r>
      <rPr>
        <vertAlign val="subscript"/>
        <sz val="9"/>
        <rFont val="Arial CE"/>
        <family val="2"/>
        <charset val="238"/>
      </rPr>
      <t>14</t>
    </r>
    <r>
      <rPr>
        <sz val="9"/>
        <rFont val="Arial CE"/>
        <family val="2"/>
        <charset val="238"/>
      </rPr>
      <t>/P=</t>
    </r>
  </si>
  <si>
    <r>
      <t>P</t>
    </r>
    <r>
      <rPr>
        <vertAlign val="subscript"/>
        <sz val="9"/>
        <rFont val="Arial CE"/>
        <family val="2"/>
        <charset val="238"/>
      </rPr>
      <t>13</t>
    </r>
    <r>
      <rPr>
        <sz val="9"/>
        <rFont val="Arial CE"/>
        <family val="2"/>
        <charset val="238"/>
      </rPr>
      <t>/P=</t>
    </r>
  </si>
  <si>
    <r>
      <t>P</t>
    </r>
    <r>
      <rPr>
        <vertAlign val="subscript"/>
        <sz val="9"/>
        <rFont val="Arial CE"/>
        <family val="2"/>
        <charset val="238"/>
      </rPr>
      <t>12</t>
    </r>
    <r>
      <rPr>
        <sz val="9"/>
        <rFont val="Arial CE"/>
        <family val="2"/>
        <charset val="238"/>
      </rPr>
      <t>/P=</t>
    </r>
  </si>
  <si>
    <r>
      <t>P</t>
    </r>
    <r>
      <rPr>
        <vertAlign val="subscript"/>
        <sz val="9"/>
        <rFont val="Arial CE"/>
        <family val="2"/>
        <charset val="238"/>
      </rPr>
      <t>11</t>
    </r>
    <r>
      <rPr>
        <sz val="9"/>
        <rFont val="Arial CE"/>
        <family val="2"/>
        <charset val="238"/>
      </rPr>
      <t>/P=</t>
    </r>
  </si>
  <si>
    <r>
      <t>P</t>
    </r>
    <r>
      <rPr>
        <vertAlign val="subscript"/>
        <sz val="9"/>
        <rFont val="Arial CE"/>
        <family val="2"/>
        <charset val="238"/>
      </rPr>
      <t>10</t>
    </r>
    <r>
      <rPr>
        <sz val="9"/>
        <rFont val="Arial CE"/>
        <family val="2"/>
        <charset val="238"/>
      </rPr>
      <t>/P=</t>
    </r>
  </si>
  <si>
    <r>
      <t>P</t>
    </r>
    <r>
      <rPr>
        <vertAlign val="subscript"/>
        <sz val="9"/>
        <rFont val="Arial CE"/>
        <family val="2"/>
        <charset val="238"/>
      </rPr>
      <t>9</t>
    </r>
    <r>
      <rPr>
        <sz val="9"/>
        <rFont val="Arial CE"/>
        <family val="2"/>
        <charset val="238"/>
      </rPr>
      <t>/P=</t>
    </r>
  </si>
  <si>
    <r>
      <t>P</t>
    </r>
    <r>
      <rPr>
        <vertAlign val="subscript"/>
        <sz val="9"/>
        <rFont val="Arial CE"/>
        <family val="2"/>
        <charset val="238"/>
      </rPr>
      <t>8</t>
    </r>
    <r>
      <rPr>
        <sz val="9"/>
        <rFont val="Arial CE"/>
        <family val="2"/>
        <charset val="238"/>
      </rPr>
      <t>/P=</t>
    </r>
  </si>
  <si>
    <r>
      <t>P</t>
    </r>
    <r>
      <rPr>
        <vertAlign val="subscript"/>
        <sz val="9"/>
        <rFont val="Arial CE"/>
        <family val="2"/>
        <charset val="238"/>
      </rPr>
      <t>7</t>
    </r>
    <r>
      <rPr>
        <sz val="9"/>
        <rFont val="Arial CE"/>
        <family val="2"/>
        <charset val="238"/>
      </rPr>
      <t>/P=</t>
    </r>
  </si>
  <si>
    <r>
      <t>P</t>
    </r>
    <r>
      <rPr>
        <vertAlign val="subscript"/>
        <sz val="9"/>
        <rFont val="Arial CE"/>
        <family val="2"/>
        <charset val="238"/>
      </rPr>
      <t>6</t>
    </r>
    <r>
      <rPr>
        <sz val="9"/>
        <rFont val="Arial CE"/>
        <family val="2"/>
        <charset val="238"/>
      </rPr>
      <t>/P=</t>
    </r>
  </si>
  <si>
    <t>0,8*B=</t>
  </si>
  <si>
    <r>
      <t>P</t>
    </r>
    <r>
      <rPr>
        <vertAlign val="subscript"/>
        <sz val="9"/>
        <rFont val="Arial CE"/>
        <family val="2"/>
        <charset val="238"/>
      </rPr>
      <t>5</t>
    </r>
    <r>
      <rPr>
        <sz val="9"/>
        <rFont val="Arial CE"/>
        <family val="2"/>
        <charset val="238"/>
      </rPr>
      <t>/P=</t>
    </r>
  </si>
  <si>
    <r>
      <t>P</t>
    </r>
    <r>
      <rPr>
        <vertAlign val="subscript"/>
        <sz val="9"/>
        <rFont val="Arial CE"/>
        <family val="2"/>
        <charset val="238"/>
      </rPr>
      <t>4</t>
    </r>
    <r>
      <rPr>
        <sz val="9"/>
        <rFont val="Arial CE"/>
        <family val="2"/>
        <charset val="238"/>
      </rPr>
      <t>/P=</t>
    </r>
  </si>
  <si>
    <r>
      <t>P</t>
    </r>
    <r>
      <rPr>
        <vertAlign val="subscript"/>
        <sz val="9"/>
        <rFont val="Arial CE"/>
        <family val="2"/>
        <charset val="238"/>
      </rPr>
      <t>3</t>
    </r>
    <r>
      <rPr>
        <sz val="9"/>
        <rFont val="Arial CE"/>
        <family val="2"/>
        <charset val="238"/>
      </rPr>
      <t>/P=</t>
    </r>
  </si>
  <si>
    <r>
      <t>P</t>
    </r>
    <r>
      <rPr>
        <vertAlign val="subscript"/>
        <sz val="9"/>
        <rFont val="Arial CE"/>
        <family val="2"/>
        <charset val="238"/>
      </rPr>
      <t>2</t>
    </r>
    <r>
      <rPr>
        <sz val="9"/>
        <rFont val="Arial CE"/>
        <family val="2"/>
        <charset val="238"/>
      </rPr>
      <t>/P=</t>
    </r>
  </si>
  <si>
    <r>
      <t>P</t>
    </r>
    <r>
      <rPr>
        <b/>
        <vertAlign val="subscript"/>
        <sz val="10"/>
        <rFont val="Arial CE"/>
        <family val="2"/>
        <charset val="238"/>
      </rPr>
      <t>i</t>
    </r>
    <r>
      <rPr>
        <b/>
        <sz val="10"/>
        <rFont val="Arial CE"/>
        <family val="2"/>
        <charset val="238"/>
      </rPr>
      <t xml:space="preserve"> / P</t>
    </r>
  </si>
  <si>
    <t>A tervezett felvonó beépítése nem kötelező, létesítését jogszabály nem írja elő, így a szabvány szerinti követelményeknek sem kell megfelelnie. A számítás eredményei csak tájékoztatásra szolgálnak.</t>
  </si>
  <si>
    <t>Csak az első oldalt nyomtasd ki!</t>
  </si>
  <si>
    <t>Autófelvonó (gépjárművek és vezetőik szállítására)</t>
  </si>
  <si>
    <t>Nyilvános parkolóház, mélyparkoló személyforgalma</t>
  </si>
  <si>
    <t>Üzemi épület személyforgalma</t>
  </si>
  <si>
    <t>%</t>
  </si>
  <si>
    <r>
      <t>bi = ( 1 - ((S</t>
    </r>
    <r>
      <rPr>
        <vertAlign val="subscript"/>
        <sz val="10"/>
        <rFont val="Arial CE"/>
        <family val="2"/>
        <charset val="238"/>
      </rPr>
      <t>m</t>
    </r>
    <r>
      <rPr>
        <sz val="10"/>
        <rFont val="Arial CE"/>
        <family val="2"/>
        <charset val="238"/>
      </rPr>
      <t xml:space="preserve"> + A)*(t</t>
    </r>
    <r>
      <rPr>
        <vertAlign val="subscript"/>
        <sz val="10"/>
        <rFont val="Arial CE"/>
        <charset val="238"/>
      </rPr>
      <t>1</t>
    </r>
    <r>
      <rPr>
        <sz val="10"/>
        <rFont val="Arial CE"/>
        <family val="2"/>
        <charset val="238"/>
      </rPr>
      <t xml:space="preserve"> + t</t>
    </r>
    <r>
      <rPr>
        <vertAlign val="subscript"/>
        <sz val="10"/>
        <rFont val="Arial CE"/>
        <charset val="238"/>
      </rPr>
      <t>4</t>
    </r>
    <r>
      <rPr>
        <sz val="10"/>
        <rFont val="Arial CE"/>
        <family val="2"/>
        <charset val="238"/>
      </rPr>
      <t xml:space="preserve"> + t</t>
    </r>
    <r>
      <rPr>
        <vertAlign val="subscript"/>
        <sz val="10"/>
        <rFont val="Arial CE"/>
        <charset val="238"/>
      </rPr>
      <t>6</t>
    </r>
    <r>
      <rPr>
        <sz val="10"/>
        <rFont val="Arial CE"/>
        <family val="2"/>
        <charset val="238"/>
      </rPr>
      <t>) + 0,8*B*(t</t>
    </r>
    <r>
      <rPr>
        <vertAlign val="subscript"/>
        <sz val="10"/>
        <rFont val="Arial CE"/>
        <charset val="238"/>
      </rPr>
      <t>2</t>
    </r>
    <r>
      <rPr>
        <sz val="10"/>
        <rFont val="Arial CE"/>
        <family val="2"/>
        <charset val="238"/>
      </rPr>
      <t xml:space="preserve"> + t</t>
    </r>
    <r>
      <rPr>
        <vertAlign val="subscript"/>
        <sz val="10"/>
        <rFont val="Arial CE"/>
        <charset val="238"/>
      </rPr>
      <t>3</t>
    </r>
    <r>
      <rPr>
        <sz val="10"/>
        <rFont val="Arial CE"/>
        <family val="2"/>
        <charset val="238"/>
      </rPr>
      <t>))/T</t>
    </r>
    <r>
      <rPr>
        <vertAlign val="subscript"/>
        <sz val="10"/>
        <rFont val="Arial CE"/>
        <family val="2"/>
        <charset val="238"/>
      </rPr>
      <t>f</t>
    </r>
    <r>
      <rPr>
        <sz val="10"/>
        <rFont val="Arial CE"/>
        <family val="2"/>
        <charset val="238"/>
      </rPr>
      <t>) * 100 =</t>
    </r>
  </si>
  <si>
    <t>A relatív bekapcsolási időtartam:</t>
  </si>
  <si>
    <t>Sportlétesítmény</t>
  </si>
  <si>
    <t>ind./h</t>
  </si>
  <si>
    <r>
      <t>m = (S</t>
    </r>
    <r>
      <rPr>
        <vertAlign val="subscript"/>
        <sz val="10"/>
        <rFont val="Arial CE"/>
        <family val="2"/>
        <charset val="238"/>
      </rPr>
      <t>m</t>
    </r>
    <r>
      <rPr>
        <sz val="10"/>
        <rFont val="Arial CE"/>
        <family val="2"/>
        <charset val="238"/>
      </rPr>
      <t xml:space="preserve"> + A) * 3600 / T</t>
    </r>
    <r>
      <rPr>
        <vertAlign val="subscript"/>
        <sz val="10"/>
        <rFont val="Arial CE"/>
        <family val="2"/>
        <charset val="238"/>
      </rPr>
      <t>f</t>
    </r>
    <r>
      <rPr>
        <sz val="10"/>
        <rFont val="Arial CE"/>
        <family val="2"/>
        <charset val="238"/>
      </rPr>
      <t xml:space="preserve"> = </t>
    </r>
  </si>
  <si>
    <t>Az óránkénti indítások száma:</t>
  </si>
  <si>
    <t>Kultúrális intézmény (színház, koncertterem, előadóterem, múzeum, kiállítóterem)</t>
  </si>
  <si>
    <t>s</t>
  </si>
  <si>
    <r>
      <t>T'</t>
    </r>
    <r>
      <rPr>
        <vertAlign val="subscript"/>
        <sz val="10"/>
        <rFont val="Arial CE"/>
        <family val="2"/>
        <charset val="238"/>
      </rPr>
      <t xml:space="preserve">k </t>
    </r>
    <r>
      <rPr>
        <sz val="10"/>
        <rFont val="Arial CE"/>
        <family val="2"/>
        <charset val="238"/>
      </rPr>
      <t>= T</t>
    </r>
    <r>
      <rPr>
        <vertAlign val="subscript"/>
        <sz val="10"/>
        <rFont val="Arial CE"/>
        <family val="2"/>
        <charset val="238"/>
      </rPr>
      <t xml:space="preserve">f </t>
    </r>
    <r>
      <rPr>
        <sz val="10"/>
        <rFont val="Arial CE"/>
        <family val="2"/>
        <charset val="238"/>
      </rPr>
      <t>/ n =</t>
    </r>
  </si>
  <si>
    <t>A tényleges követési idő:</t>
  </si>
  <si>
    <t>Étterem, presszó, bár stb.</t>
  </si>
  <si>
    <t>% / 5 min</t>
  </si>
  <si>
    <r>
      <t>P'</t>
    </r>
    <r>
      <rPr>
        <vertAlign val="subscript"/>
        <sz val="10"/>
        <rFont val="Arial CE"/>
        <family val="2"/>
        <charset val="238"/>
      </rPr>
      <t>sz</t>
    </r>
    <r>
      <rPr>
        <sz val="10"/>
        <rFont val="Arial CE"/>
        <family val="2"/>
        <charset val="238"/>
      </rPr>
      <t xml:space="preserve"> = 0,8*B * 300 * n * 100 / (T</t>
    </r>
    <r>
      <rPr>
        <vertAlign val="subscript"/>
        <sz val="10"/>
        <rFont val="Arial CE"/>
        <family val="2"/>
        <charset val="238"/>
      </rPr>
      <t>f</t>
    </r>
    <r>
      <rPr>
        <sz val="10"/>
        <rFont val="Arial CE"/>
        <family val="2"/>
        <charset val="238"/>
      </rPr>
      <t xml:space="preserve"> * P) =</t>
    </r>
  </si>
  <si>
    <t>A tényleges ötperces fajlagos szállítóképesség:</t>
  </si>
  <si>
    <t>Kórház, betegszállítás</t>
  </si>
  <si>
    <t>db</t>
  </si>
  <si>
    <t xml:space="preserve">n = </t>
  </si>
  <si>
    <t>A fülkék kerekített száma:</t>
  </si>
  <si>
    <t>Kórház, középmagas és magas épületben, látogatói és személyzeti forgalomra</t>
  </si>
  <si>
    <t>&gt;13,65m</t>
  </si>
  <si>
    <r>
      <t>n = T</t>
    </r>
    <r>
      <rPr>
        <vertAlign val="subscript"/>
        <sz val="10"/>
        <rFont val="Arial CE"/>
        <family val="2"/>
        <charset val="238"/>
      </rPr>
      <t xml:space="preserve">f </t>
    </r>
    <r>
      <rPr>
        <sz val="10"/>
        <rFont val="Arial CE"/>
        <family val="2"/>
        <charset val="238"/>
      </rPr>
      <t>/ T</t>
    </r>
    <r>
      <rPr>
        <vertAlign val="subscript"/>
        <sz val="10"/>
        <rFont val="Arial CE"/>
        <family val="2"/>
        <charset val="238"/>
      </rPr>
      <t xml:space="preserve">k </t>
    </r>
    <r>
      <rPr>
        <sz val="10"/>
        <rFont val="Arial CE"/>
        <family val="2"/>
        <charset val="238"/>
      </rPr>
      <t>=</t>
    </r>
  </si>
  <si>
    <t>A fülkék számított száma:</t>
  </si>
  <si>
    <t>Kórház, többszintes épületben, látogatói és személyzeti forgalomra</t>
  </si>
  <si>
    <r>
      <t>A fordulási idő: T</t>
    </r>
    <r>
      <rPr>
        <vertAlign val="subscript"/>
        <sz val="10"/>
        <rFont val="Arial CE"/>
        <family val="2"/>
        <charset val="238"/>
      </rPr>
      <t>f</t>
    </r>
    <r>
      <rPr>
        <sz val="10"/>
        <rFont val="Arial CE"/>
        <family val="2"/>
        <charset val="238"/>
      </rPr>
      <t xml:space="preserve"> = 0,8*B*(t</t>
    </r>
    <r>
      <rPr>
        <vertAlign val="subscript"/>
        <sz val="10"/>
        <rFont val="Arial CE"/>
        <family val="2"/>
        <charset val="238"/>
      </rPr>
      <t>2</t>
    </r>
    <r>
      <rPr>
        <sz val="10"/>
        <rFont val="Arial CE"/>
        <family val="2"/>
        <charset val="238"/>
      </rPr>
      <t xml:space="preserve"> + t</t>
    </r>
    <r>
      <rPr>
        <vertAlign val="subscript"/>
        <sz val="10"/>
        <rFont val="Arial CE"/>
        <family val="2"/>
        <charset val="238"/>
      </rPr>
      <t>3</t>
    </r>
    <r>
      <rPr>
        <sz val="10"/>
        <rFont val="Arial CE"/>
        <family val="2"/>
        <charset val="238"/>
      </rPr>
      <t>) + (S</t>
    </r>
    <r>
      <rPr>
        <vertAlign val="subscript"/>
        <sz val="10"/>
        <rFont val="Arial CE"/>
        <family val="2"/>
        <charset val="238"/>
      </rPr>
      <t>m</t>
    </r>
    <r>
      <rPr>
        <sz val="10"/>
        <rFont val="Arial CE"/>
        <family val="2"/>
        <charset val="238"/>
      </rPr>
      <t xml:space="preserve"> + A)*(t</t>
    </r>
    <r>
      <rPr>
        <vertAlign val="subscript"/>
        <sz val="10"/>
        <rFont val="Arial CE"/>
        <family val="2"/>
        <charset val="238"/>
      </rPr>
      <t>1</t>
    </r>
    <r>
      <rPr>
        <sz val="10"/>
        <rFont val="Arial CE"/>
        <family val="2"/>
        <charset val="238"/>
      </rPr>
      <t xml:space="preserve"> + t</t>
    </r>
    <r>
      <rPr>
        <vertAlign val="subscript"/>
        <sz val="10"/>
        <rFont val="Arial CE"/>
        <family val="2"/>
        <charset val="238"/>
      </rPr>
      <t xml:space="preserve">4 </t>
    </r>
    <r>
      <rPr>
        <sz val="10"/>
        <rFont val="Arial CE"/>
        <family val="2"/>
        <charset val="238"/>
      </rPr>
      <t>+ t</t>
    </r>
    <r>
      <rPr>
        <vertAlign val="subscript"/>
        <sz val="10"/>
        <rFont val="Arial CE"/>
        <family val="2"/>
        <charset val="238"/>
      </rPr>
      <t>6</t>
    </r>
    <r>
      <rPr>
        <sz val="10"/>
        <rFont val="Arial CE"/>
        <family val="2"/>
        <charset val="238"/>
      </rPr>
      <t>) + S</t>
    </r>
    <r>
      <rPr>
        <vertAlign val="subscript"/>
        <sz val="10"/>
        <rFont val="Arial CE"/>
        <family val="2"/>
        <charset val="238"/>
      </rPr>
      <t>m</t>
    </r>
    <r>
      <rPr>
        <sz val="10"/>
        <rFont val="Arial CE"/>
        <family val="2"/>
        <charset val="238"/>
      </rPr>
      <t>*t</t>
    </r>
    <r>
      <rPr>
        <vertAlign val="subscript"/>
        <sz val="10"/>
        <rFont val="Arial CE"/>
        <family val="2"/>
        <charset val="238"/>
      </rPr>
      <t>m</t>
    </r>
    <r>
      <rPr>
        <sz val="10"/>
        <rFont val="Arial CE"/>
        <family val="2"/>
        <charset val="238"/>
      </rPr>
      <t xml:space="preserve"> + t</t>
    </r>
    <r>
      <rPr>
        <vertAlign val="subscript"/>
        <sz val="10"/>
        <rFont val="Arial CE"/>
        <family val="2"/>
        <charset val="238"/>
      </rPr>
      <t xml:space="preserve">5/1 </t>
    </r>
    <r>
      <rPr>
        <sz val="10"/>
        <rFont val="Arial CE"/>
        <family val="2"/>
        <charset val="238"/>
      </rPr>
      <t>+ t</t>
    </r>
    <r>
      <rPr>
        <vertAlign val="subscript"/>
        <sz val="10"/>
        <rFont val="Arial CE"/>
        <family val="2"/>
        <charset val="238"/>
      </rPr>
      <t xml:space="preserve">5/2 </t>
    </r>
    <r>
      <rPr>
        <sz val="10"/>
        <rFont val="Arial CE"/>
        <family val="2"/>
        <charset val="238"/>
      </rPr>
      <t>+ t</t>
    </r>
    <r>
      <rPr>
        <vertAlign val="subscript"/>
        <sz val="10"/>
        <rFont val="Arial CE"/>
        <family val="2"/>
        <charset val="238"/>
      </rPr>
      <t>5/3</t>
    </r>
    <r>
      <rPr>
        <sz val="10"/>
        <rFont val="Arial CE"/>
        <family val="2"/>
        <charset val="238"/>
      </rPr>
      <t xml:space="preserve"> + t</t>
    </r>
    <r>
      <rPr>
        <vertAlign val="subscript"/>
        <sz val="10"/>
        <rFont val="Arial CE"/>
        <family val="2"/>
        <charset val="238"/>
      </rPr>
      <t>5/4</t>
    </r>
    <r>
      <rPr>
        <sz val="10"/>
        <rFont val="Arial CE"/>
        <family val="2"/>
        <charset val="238"/>
      </rPr>
      <t xml:space="preserve"> + t</t>
    </r>
    <r>
      <rPr>
        <vertAlign val="subscript"/>
        <sz val="10"/>
        <rFont val="Arial CE"/>
        <family val="2"/>
        <charset val="238"/>
      </rPr>
      <t>5/5</t>
    </r>
    <r>
      <rPr>
        <sz val="10"/>
        <rFont val="Arial CE"/>
        <family val="2"/>
        <charset val="238"/>
      </rPr>
      <t xml:space="preserve"> + t</t>
    </r>
    <r>
      <rPr>
        <vertAlign val="subscript"/>
        <sz val="10"/>
        <rFont val="Arial CE"/>
        <family val="2"/>
        <charset val="238"/>
      </rPr>
      <t>le</t>
    </r>
    <r>
      <rPr>
        <sz val="10"/>
        <rFont val="Arial CE"/>
        <family val="2"/>
        <charset val="238"/>
      </rPr>
      <t xml:space="preserve"> =</t>
    </r>
  </si>
  <si>
    <t>Rendelőintézet</t>
  </si>
  <si>
    <t>Ötödik és hatodik alapállomás közötti menetidő:</t>
  </si>
  <si>
    <t>Áruház, bevásárlóközpont mozgólépcsővel, vásárlói forgalom</t>
  </si>
  <si>
    <t>Negyedik és ötödik alapállomás közötti menetidő:</t>
  </si>
  <si>
    <t>Áruház, bevásárlóközpont mozgólépcső nélkül, alkalmazotti forgalom</t>
  </si>
  <si>
    <t>Harmadik és negyedik alapállomás közötti menetidő:</t>
  </si>
  <si>
    <t>Áruház, bevásárlóközpont mozgólépcső nélkül, vásárlói forgalom</t>
  </si>
  <si>
    <t>Második és harmadik alapállomás közötti menetidő:</t>
  </si>
  <si>
    <t>Oktatási intézmény, magas épületben</t>
  </si>
  <si>
    <t>&gt;30m</t>
  </si>
  <si>
    <t>Az első és a második alapállomás közötti menetidő:</t>
  </si>
  <si>
    <t>Oktatási intézmény, középmagas épületben</t>
  </si>
  <si>
    <r>
      <t>t</t>
    </r>
    <r>
      <rPr>
        <vertAlign val="subscript"/>
        <sz val="10"/>
        <rFont val="Arial CE"/>
        <family val="2"/>
        <charset val="238"/>
      </rPr>
      <t>le</t>
    </r>
    <r>
      <rPr>
        <sz val="10"/>
        <rFont val="Arial CE"/>
        <family val="2"/>
        <charset val="238"/>
      </rPr>
      <t xml:space="preserve"> = (H</t>
    </r>
    <r>
      <rPr>
        <vertAlign val="subscript"/>
        <sz val="10"/>
        <rFont val="Arial CE"/>
        <family val="2"/>
        <charset val="238"/>
      </rPr>
      <t>m</t>
    </r>
    <r>
      <rPr>
        <sz val="10"/>
        <rFont val="Arial CE"/>
        <charset val="238"/>
      </rPr>
      <t>+H</t>
    </r>
    <r>
      <rPr>
        <vertAlign val="subscript"/>
        <sz val="10"/>
        <rFont val="Arial CE"/>
        <family val="2"/>
        <charset val="238"/>
      </rPr>
      <t>a1-2</t>
    </r>
    <r>
      <rPr>
        <sz val="10"/>
        <rFont val="Arial CE"/>
        <charset val="238"/>
      </rPr>
      <t>+H</t>
    </r>
    <r>
      <rPr>
        <vertAlign val="subscript"/>
        <sz val="10"/>
        <rFont val="Arial CE"/>
        <family val="2"/>
        <charset val="238"/>
      </rPr>
      <t>a2-3</t>
    </r>
    <r>
      <rPr>
        <sz val="10"/>
        <rFont val="Arial CE"/>
        <charset val="238"/>
      </rPr>
      <t>+H</t>
    </r>
    <r>
      <rPr>
        <vertAlign val="subscript"/>
        <sz val="10"/>
        <rFont val="Arial CE"/>
        <family val="2"/>
        <charset val="238"/>
      </rPr>
      <t>a3-4</t>
    </r>
    <r>
      <rPr>
        <sz val="10"/>
        <rFont val="Arial CE"/>
        <charset val="238"/>
      </rPr>
      <t>+H</t>
    </r>
    <r>
      <rPr>
        <vertAlign val="subscript"/>
        <sz val="10"/>
        <rFont val="Arial CE"/>
        <family val="2"/>
        <charset val="238"/>
      </rPr>
      <t>a4-5</t>
    </r>
    <r>
      <rPr>
        <sz val="10"/>
        <rFont val="Arial CE"/>
        <charset val="238"/>
      </rPr>
      <t>+H</t>
    </r>
    <r>
      <rPr>
        <vertAlign val="subscript"/>
        <sz val="10"/>
        <rFont val="Arial CE"/>
        <family val="2"/>
        <charset val="238"/>
      </rPr>
      <t>a5-6</t>
    </r>
    <r>
      <rPr>
        <sz val="10"/>
        <rFont val="Arial CE"/>
        <family val="2"/>
        <charset val="238"/>
      </rPr>
      <t>)/v + v/a + a/j =</t>
    </r>
  </si>
  <si>
    <t>Menetidő közv. lemenet esetén:</t>
  </si>
  <si>
    <t>Oktatási intézmény, többszintes épületben</t>
  </si>
  <si>
    <r>
      <t>t</t>
    </r>
    <r>
      <rPr>
        <vertAlign val="subscript"/>
        <sz val="10"/>
        <rFont val="Arial CE"/>
        <family val="2"/>
        <charset val="238"/>
      </rPr>
      <t>m</t>
    </r>
    <r>
      <rPr>
        <sz val="10"/>
        <rFont val="Arial CE"/>
        <family val="2"/>
        <charset val="238"/>
      </rPr>
      <t xml:space="preserve"> =</t>
    </r>
  </si>
  <si>
    <t>Aktuális:</t>
  </si>
  <si>
    <t>Diákotthon (kollégium, diákszálló), munkásszálló</t>
  </si>
  <si>
    <r>
      <t>t</t>
    </r>
    <r>
      <rPr>
        <vertAlign val="subscript"/>
        <sz val="10"/>
        <rFont val="Arial CE"/>
        <family val="2"/>
        <charset val="238"/>
      </rPr>
      <t>m</t>
    </r>
    <r>
      <rPr>
        <sz val="10"/>
        <rFont val="Arial CE"/>
        <family val="2"/>
        <charset val="238"/>
      </rPr>
      <t xml:space="preserve"> = 2*v</t>
    </r>
    <r>
      <rPr>
        <vertAlign val="subscript"/>
        <sz val="10"/>
        <rFont val="Arial CE"/>
        <family val="2"/>
        <charset val="238"/>
      </rPr>
      <t>max</t>
    </r>
    <r>
      <rPr>
        <sz val="10"/>
        <rFont val="Arial CE"/>
        <family val="2"/>
        <charset val="238"/>
      </rPr>
      <t>/a + 2*a/j =</t>
    </r>
  </si>
  <si>
    <r>
      <t>Ha v</t>
    </r>
    <r>
      <rPr>
        <vertAlign val="subscript"/>
        <sz val="10"/>
        <rFont val="Arial CE"/>
        <family val="2"/>
        <charset val="238"/>
      </rPr>
      <t>max</t>
    </r>
    <r>
      <rPr>
        <sz val="10"/>
        <rFont val="Arial CE"/>
        <family val="2"/>
        <charset val="238"/>
      </rPr>
      <t xml:space="preserve"> =&lt; v :</t>
    </r>
  </si>
  <si>
    <t>Szórakozóhely (diszkó, mozi stb.)</t>
  </si>
  <si>
    <r>
      <t>t</t>
    </r>
    <r>
      <rPr>
        <vertAlign val="subscript"/>
        <sz val="10"/>
        <rFont val="Arial CE"/>
        <family val="2"/>
        <charset val="238"/>
      </rPr>
      <t>m</t>
    </r>
    <r>
      <rPr>
        <sz val="10"/>
        <rFont val="Arial CE"/>
        <family val="2"/>
        <charset val="238"/>
      </rPr>
      <t xml:space="preserve"> = H</t>
    </r>
    <r>
      <rPr>
        <vertAlign val="subscript"/>
        <sz val="10"/>
        <rFont val="Arial CE"/>
        <family val="2"/>
        <charset val="238"/>
      </rPr>
      <t>a</t>
    </r>
    <r>
      <rPr>
        <sz val="10"/>
        <rFont val="Arial CE"/>
        <family val="2"/>
        <charset val="238"/>
      </rPr>
      <t>/v + v/a + a/j =</t>
    </r>
  </si>
  <si>
    <r>
      <t>Ha v</t>
    </r>
    <r>
      <rPr>
        <vertAlign val="subscript"/>
        <sz val="10"/>
        <rFont val="Arial CE"/>
        <family val="2"/>
        <charset val="238"/>
      </rPr>
      <t>max</t>
    </r>
    <r>
      <rPr>
        <sz val="10"/>
        <rFont val="Arial CE"/>
        <family val="2"/>
        <charset val="238"/>
      </rPr>
      <t xml:space="preserve"> &gt; v :</t>
    </r>
  </si>
  <si>
    <t>Az átlagos menetmagasság menetideje:</t>
  </si>
  <si>
    <t>Szálloda, panzió, személyzeti forgalom</t>
  </si>
  <si>
    <t>m/s</t>
  </si>
  <si>
    <r>
      <t>v</t>
    </r>
    <r>
      <rPr>
        <vertAlign val="subscript"/>
        <sz val="10"/>
        <rFont val="Arial CE"/>
        <family val="2"/>
        <charset val="238"/>
      </rPr>
      <t>max</t>
    </r>
    <r>
      <rPr>
        <sz val="10"/>
        <rFont val="Arial CE"/>
        <family val="2"/>
        <charset val="238"/>
      </rPr>
      <t xml:space="preserve"> = a</t>
    </r>
    <r>
      <rPr>
        <vertAlign val="superscript"/>
        <sz val="10"/>
        <rFont val="Arial CE"/>
        <family val="2"/>
        <charset val="238"/>
      </rPr>
      <t>2</t>
    </r>
    <r>
      <rPr>
        <sz val="10"/>
        <rFont val="Arial CE"/>
        <family val="2"/>
        <charset val="238"/>
      </rPr>
      <t>/(- 2*j) + (a</t>
    </r>
    <r>
      <rPr>
        <vertAlign val="superscript"/>
        <sz val="10"/>
        <rFont val="Arial CE"/>
        <family val="2"/>
        <charset val="238"/>
      </rPr>
      <t>4</t>
    </r>
    <r>
      <rPr>
        <sz val="10"/>
        <rFont val="Arial CE"/>
        <family val="2"/>
        <charset val="238"/>
      </rPr>
      <t>/(4*j</t>
    </r>
    <r>
      <rPr>
        <vertAlign val="superscript"/>
        <sz val="10"/>
        <rFont val="Arial CE"/>
        <family val="2"/>
        <charset val="238"/>
      </rPr>
      <t>2</t>
    </r>
    <r>
      <rPr>
        <sz val="10"/>
        <rFont val="Arial CE"/>
        <family val="2"/>
        <charset val="238"/>
      </rPr>
      <t>) + a*H</t>
    </r>
    <r>
      <rPr>
        <vertAlign val="subscript"/>
        <sz val="10"/>
        <rFont val="Arial CE"/>
        <family val="2"/>
        <charset val="238"/>
      </rPr>
      <t>a</t>
    </r>
    <r>
      <rPr>
        <sz val="10"/>
        <rFont val="Arial CE"/>
        <charset val="238"/>
      </rPr>
      <t>)</t>
    </r>
    <r>
      <rPr>
        <vertAlign val="superscript"/>
        <sz val="10"/>
        <rFont val="Arial CE"/>
        <charset val="238"/>
      </rPr>
      <t>1/2</t>
    </r>
    <r>
      <rPr>
        <sz val="10"/>
        <rFont val="Arial CE"/>
        <family val="2"/>
        <charset val="238"/>
      </rPr>
      <t>=</t>
    </r>
  </si>
  <si>
    <t>Az elvileg elérhető legnagyobb sebesség:</t>
  </si>
  <si>
    <t>Panzió, vendégforgalom</t>
  </si>
  <si>
    <t>m</t>
  </si>
  <si>
    <r>
      <t>H</t>
    </r>
    <r>
      <rPr>
        <vertAlign val="subscript"/>
        <sz val="10"/>
        <rFont val="Arial CE"/>
        <family val="2"/>
        <charset val="238"/>
      </rPr>
      <t>a</t>
    </r>
    <r>
      <rPr>
        <sz val="10"/>
        <rFont val="Arial CE"/>
        <family val="2"/>
        <charset val="238"/>
      </rPr>
      <t xml:space="preserve"> = S</t>
    </r>
    <r>
      <rPr>
        <vertAlign val="subscript"/>
        <sz val="10"/>
        <rFont val="Arial CE"/>
        <family val="2"/>
        <charset val="238"/>
      </rPr>
      <t>h</t>
    </r>
    <r>
      <rPr>
        <sz val="10"/>
        <rFont val="Arial CE"/>
        <family val="2"/>
        <charset val="238"/>
      </rPr>
      <t xml:space="preserve"> * h / S</t>
    </r>
    <r>
      <rPr>
        <vertAlign val="subscript"/>
        <sz val="10"/>
        <rFont val="Arial CE"/>
        <family val="2"/>
        <charset val="238"/>
      </rPr>
      <t>m</t>
    </r>
    <r>
      <rPr>
        <sz val="10"/>
        <rFont val="Arial CE"/>
        <family val="2"/>
        <charset val="238"/>
      </rPr>
      <t xml:space="preserve"> =</t>
    </r>
  </si>
  <si>
    <t>A valószinű átlagos menetmagasság a legf alapáll felett:</t>
  </si>
  <si>
    <t>Szálloda, vendégforgalom</t>
  </si>
  <si>
    <r>
      <t>H</t>
    </r>
    <r>
      <rPr>
        <vertAlign val="subscript"/>
        <sz val="10"/>
        <rFont val="Arial CE"/>
        <family val="2"/>
        <charset val="238"/>
      </rPr>
      <t>m</t>
    </r>
    <r>
      <rPr>
        <sz val="10"/>
        <rFont val="Arial CE"/>
        <family val="2"/>
        <charset val="238"/>
      </rPr>
      <t xml:space="preserve"> = S</t>
    </r>
    <r>
      <rPr>
        <vertAlign val="subscript"/>
        <sz val="10"/>
        <rFont val="Arial CE"/>
        <family val="2"/>
        <charset val="238"/>
      </rPr>
      <t>h</t>
    </r>
    <r>
      <rPr>
        <sz val="10"/>
        <rFont val="Arial CE"/>
        <family val="2"/>
        <charset val="238"/>
      </rPr>
      <t xml:space="preserve"> * h =</t>
    </r>
  </si>
  <si>
    <t>A valószinű átlagos emelési magasság a legf alapáll felett:</t>
  </si>
  <si>
    <t>Közszolgálati intézmény ügyfélforgalommal (önkormányzat, rendőrség, okmányiroda stb.)</t>
  </si>
  <si>
    <t>h = HA / N =</t>
  </si>
  <si>
    <t>Egy szint átlagos magassága a legfelső alapállomás felett:</t>
  </si>
  <si>
    <t>Irodaépület "reprezentatív" irodák számára</t>
  </si>
  <si>
    <r>
      <t>S</t>
    </r>
    <r>
      <rPr>
        <vertAlign val="subscript"/>
        <sz val="10"/>
        <rFont val="Arial CE"/>
        <family val="2"/>
        <charset val="238"/>
      </rPr>
      <t>h</t>
    </r>
    <r>
      <rPr>
        <sz val="10"/>
        <rFont val="Arial CE"/>
        <family val="2"/>
        <charset val="238"/>
      </rPr>
      <t xml:space="preserve"> = N - </t>
    </r>
    <r>
      <rPr>
        <sz val="10"/>
        <rFont val="Symbol"/>
        <family val="1"/>
        <charset val="2"/>
      </rPr>
      <t>S</t>
    </r>
    <r>
      <rPr>
        <vertAlign val="subscript"/>
        <sz val="10"/>
        <rFont val="Arial CE"/>
        <family val="2"/>
        <charset val="238"/>
      </rPr>
      <t>j=1</t>
    </r>
    <r>
      <rPr>
        <vertAlign val="superscript"/>
        <sz val="10"/>
        <rFont val="Arial CE"/>
        <family val="2"/>
        <charset val="238"/>
      </rPr>
      <t>N-1</t>
    </r>
    <r>
      <rPr>
        <sz val="10"/>
        <rFont val="Arial CE"/>
        <family val="2"/>
        <charset val="238"/>
      </rPr>
      <t>(</t>
    </r>
    <r>
      <rPr>
        <sz val="10"/>
        <rFont val="Symbol"/>
        <family val="1"/>
        <charset val="2"/>
      </rPr>
      <t>S</t>
    </r>
    <r>
      <rPr>
        <vertAlign val="subscript"/>
        <sz val="10"/>
        <rFont val="Arial CE"/>
        <family val="2"/>
        <charset val="238"/>
      </rPr>
      <t>i=1</t>
    </r>
    <r>
      <rPr>
        <vertAlign val="superscript"/>
        <sz val="10"/>
        <rFont val="Arial CE"/>
        <family val="2"/>
        <charset val="238"/>
      </rPr>
      <t>j</t>
    </r>
    <r>
      <rPr>
        <sz val="10"/>
        <rFont val="Arial CE"/>
        <family val="2"/>
        <charset val="238"/>
      </rPr>
      <t>P</t>
    </r>
    <r>
      <rPr>
        <vertAlign val="subscript"/>
        <sz val="10"/>
        <rFont val="Arial CE"/>
        <family val="2"/>
        <charset val="238"/>
      </rPr>
      <t>i</t>
    </r>
    <r>
      <rPr>
        <sz val="10"/>
        <rFont val="Arial CE"/>
        <family val="2"/>
        <charset val="238"/>
      </rPr>
      <t>/P)</t>
    </r>
    <r>
      <rPr>
        <vertAlign val="superscript"/>
        <sz val="10"/>
        <rFont val="Arial CE"/>
        <family val="2"/>
        <charset val="238"/>
      </rPr>
      <t>0,8*B</t>
    </r>
    <r>
      <rPr>
        <sz val="10"/>
        <rFont val="Arial CE"/>
        <family val="2"/>
        <charset val="238"/>
      </rPr>
      <t xml:space="preserve"> =</t>
    </r>
  </si>
  <si>
    <t>A valószinű állomásközök száma a legf alapáll felett:</t>
  </si>
  <si>
    <t>Irodaépület szintenként különböző használóval</t>
  </si>
  <si>
    <r>
      <t>S</t>
    </r>
    <r>
      <rPr>
        <vertAlign val="subscript"/>
        <sz val="10"/>
        <rFont val="Arial CE"/>
        <family val="2"/>
        <charset val="238"/>
      </rPr>
      <t>m</t>
    </r>
    <r>
      <rPr>
        <sz val="10"/>
        <rFont val="Arial CE"/>
        <family val="2"/>
        <charset val="238"/>
      </rPr>
      <t xml:space="preserve"> = [N - </t>
    </r>
    <r>
      <rPr>
        <sz val="10"/>
        <rFont val="Symbol"/>
        <family val="1"/>
        <charset val="2"/>
      </rPr>
      <t>S</t>
    </r>
    <r>
      <rPr>
        <vertAlign val="subscript"/>
        <sz val="10"/>
        <rFont val="Arial CE"/>
        <family val="2"/>
        <charset val="238"/>
      </rPr>
      <t>i=1</t>
    </r>
    <r>
      <rPr>
        <vertAlign val="superscript"/>
        <sz val="10"/>
        <rFont val="Arial CE"/>
        <family val="2"/>
        <charset val="238"/>
      </rPr>
      <t>N</t>
    </r>
    <r>
      <rPr>
        <sz val="10"/>
        <rFont val="Arial CE"/>
        <family val="2"/>
        <charset val="238"/>
      </rPr>
      <t>(1 - P</t>
    </r>
    <r>
      <rPr>
        <vertAlign val="subscript"/>
        <sz val="10"/>
        <rFont val="Arial CE"/>
        <family val="2"/>
        <charset val="238"/>
      </rPr>
      <t>i</t>
    </r>
    <r>
      <rPr>
        <sz val="10"/>
        <rFont val="Arial CE"/>
        <family val="2"/>
        <charset val="238"/>
      </rPr>
      <t>/P)</t>
    </r>
    <r>
      <rPr>
        <vertAlign val="superscript"/>
        <sz val="10"/>
        <rFont val="Arial CE"/>
        <family val="2"/>
        <charset val="238"/>
      </rPr>
      <t>0,8*B</t>
    </r>
    <r>
      <rPr>
        <sz val="10"/>
        <rFont val="Arial CE"/>
        <charset val="238"/>
      </rPr>
      <t>]</t>
    </r>
    <r>
      <rPr>
        <sz val="10"/>
        <rFont val="Symbol"/>
        <family val="1"/>
        <charset val="2"/>
      </rPr>
      <t>x</t>
    </r>
    <r>
      <rPr>
        <sz val="10"/>
        <rFont val="Arial CE"/>
        <charset val="238"/>
      </rPr>
      <t xml:space="preserve"> </t>
    </r>
    <r>
      <rPr>
        <sz val="10"/>
        <rFont val="Arial CE"/>
        <family val="2"/>
        <charset val="238"/>
      </rPr>
      <t>=</t>
    </r>
  </si>
  <si>
    <t>A megállások valószinű száma a legf alapáll felett:</t>
  </si>
  <si>
    <t>Irodaépület szintenként azonos használóval</t>
  </si>
  <si>
    <r>
      <rPr>
        <sz val="10"/>
        <rFont val="Symbol"/>
        <family val="1"/>
        <charset val="2"/>
      </rPr>
      <t>x</t>
    </r>
    <r>
      <rPr>
        <sz val="10"/>
        <rFont val="Arial CE"/>
        <family val="2"/>
        <charset val="238"/>
      </rPr>
      <t xml:space="preserve"> =</t>
    </r>
  </si>
  <si>
    <r>
      <t xml:space="preserve">Célszintválasztó vezérlés esetén </t>
    </r>
    <r>
      <rPr>
        <sz val="10"/>
        <rFont val="Symbol"/>
        <family val="1"/>
        <charset val="2"/>
      </rPr>
      <t>x</t>
    </r>
    <r>
      <rPr>
        <sz val="10"/>
        <rFont val="Arial CE"/>
        <family val="2"/>
        <charset val="238"/>
      </rPr>
      <t xml:space="preserve"> &lt;=1:</t>
    </r>
  </si>
  <si>
    <t>Fogyatékkal élők szociális és hivatali létesítményei ügyfélforgalommal</t>
  </si>
  <si>
    <t>B =</t>
  </si>
  <si>
    <t>A fülke  névleges befogadóképessége: (ajánlott: 8,10,13,16,21,26 )</t>
  </si>
  <si>
    <t>Lakóház parkolószintje(i)</t>
  </si>
  <si>
    <r>
      <t>B = P * P</t>
    </r>
    <r>
      <rPr>
        <vertAlign val="subscript"/>
        <sz val="10"/>
        <rFont val="Arial CE"/>
        <family val="2"/>
        <charset val="238"/>
      </rPr>
      <t>sz</t>
    </r>
    <r>
      <rPr>
        <sz val="10"/>
        <rFont val="Arial CE"/>
        <family val="2"/>
        <charset val="238"/>
      </rPr>
      <t xml:space="preserve"> * T</t>
    </r>
    <r>
      <rPr>
        <vertAlign val="subscript"/>
        <sz val="10"/>
        <rFont val="Arial CE"/>
        <family val="2"/>
        <charset val="238"/>
      </rPr>
      <t>k</t>
    </r>
    <r>
      <rPr>
        <sz val="10"/>
        <rFont val="Arial CE"/>
        <family val="2"/>
        <charset val="238"/>
      </rPr>
      <t xml:space="preserve"> / (100 * 300 * 0,8) =</t>
    </r>
  </si>
  <si>
    <t>A fülke számított névleges befogadóképessége:</t>
  </si>
  <si>
    <t>Fogyatékkal élők szociális otthona</t>
  </si>
  <si>
    <r>
      <t>P</t>
    </r>
    <r>
      <rPr>
        <sz val="10"/>
        <rFont val="Symbol"/>
        <family val="1"/>
        <charset val="2"/>
      </rPr>
      <t xml:space="preserve"> = S</t>
    </r>
    <r>
      <rPr>
        <vertAlign val="subscript"/>
        <sz val="10"/>
        <rFont val="Arial CE"/>
        <family val="2"/>
        <charset val="238"/>
      </rPr>
      <t>i = 1</t>
    </r>
    <r>
      <rPr>
        <vertAlign val="superscript"/>
        <sz val="10"/>
        <rFont val="Arial CE"/>
        <family val="2"/>
        <charset val="238"/>
      </rPr>
      <t>N</t>
    </r>
    <r>
      <rPr>
        <sz val="10"/>
        <rFont val="Arial CE"/>
        <family val="2"/>
        <charset val="238"/>
      </rPr>
      <t xml:space="preserve">  P</t>
    </r>
    <r>
      <rPr>
        <vertAlign val="subscript"/>
        <sz val="10"/>
        <rFont val="Arial CE"/>
        <family val="2"/>
        <charset val="238"/>
      </rPr>
      <t>i</t>
    </r>
    <r>
      <rPr>
        <sz val="10"/>
        <rFont val="Arial CE"/>
        <family val="2"/>
        <charset val="238"/>
      </rPr>
      <t xml:space="preserve"> = P</t>
    </r>
    <r>
      <rPr>
        <vertAlign val="subscript"/>
        <sz val="10"/>
        <rFont val="Arial CE"/>
        <family val="2"/>
        <charset val="238"/>
      </rPr>
      <t>1</t>
    </r>
    <r>
      <rPr>
        <sz val="10"/>
        <rFont val="Arial CE"/>
        <family val="2"/>
        <charset val="238"/>
      </rPr>
      <t xml:space="preserve"> + P</t>
    </r>
    <r>
      <rPr>
        <vertAlign val="subscript"/>
        <sz val="10"/>
        <rFont val="Arial CE"/>
        <family val="2"/>
        <charset val="238"/>
      </rPr>
      <t>2</t>
    </r>
    <r>
      <rPr>
        <sz val="10"/>
        <rFont val="Arial CE"/>
        <family val="2"/>
        <charset val="238"/>
      </rPr>
      <t xml:space="preserve"> + ... + P</t>
    </r>
    <r>
      <rPr>
        <vertAlign val="subscript"/>
        <sz val="10"/>
        <rFont val="Arial CE"/>
        <family val="2"/>
        <charset val="238"/>
      </rPr>
      <t>N</t>
    </r>
    <r>
      <rPr>
        <sz val="10"/>
        <rFont val="Arial CE"/>
        <family val="2"/>
        <charset val="238"/>
      </rPr>
      <t xml:space="preserve"> =</t>
    </r>
  </si>
  <si>
    <t>A teljes utasszám a legfelső alapállomás felett:</t>
  </si>
  <si>
    <t>Idősek otthona, nyugdíjasház stb. állandó lakókkal</t>
  </si>
  <si>
    <r>
      <t>T'</t>
    </r>
    <r>
      <rPr>
        <vertAlign val="subscript"/>
        <sz val="10"/>
        <rFont val="Arial CE"/>
        <family val="2"/>
        <charset val="238"/>
      </rPr>
      <t xml:space="preserve">H </t>
    </r>
    <r>
      <rPr>
        <sz val="10"/>
        <rFont val="Arial CE"/>
        <family val="2"/>
        <charset val="238"/>
      </rPr>
      <t>= H / v =</t>
    </r>
  </si>
  <si>
    <t>A felvonó elméleti menetideje:</t>
  </si>
  <si>
    <t>Lakóház, garzonház, apartmanház</t>
  </si>
  <si>
    <r>
      <t>Számított adatok</t>
    </r>
    <r>
      <rPr>
        <b/>
        <sz val="10"/>
        <rFont val="Arial CE"/>
        <charset val="238"/>
      </rPr>
      <t>:</t>
    </r>
  </si>
  <si>
    <r>
      <t>P</t>
    </r>
    <r>
      <rPr>
        <vertAlign val="subscript"/>
        <sz val="10"/>
        <rFont val="Arial CE"/>
        <family val="2"/>
        <charset val="238"/>
      </rPr>
      <t xml:space="preserve">N </t>
    </r>
    <r>
      <rPr>
        <sz val="10"/>
        <rFont val="Arial CE"/>
        <family val="2"/>
        <charset val="238"/>
      </rPr>
      <t>=</t>
    </r>
  </si>
  <si>
    <r>
      <t>P</t>
    </r>
    <r>
      <rPr>
        <vertAlign val="subscript"/>
        <sz val="10"/>
        <rFont val="Arial CE"/>
        <family val="2"/>
        <charset val="238"/>
      </rPr>
      <t xml:space="preserve">24 </t>
    </r>
    <r>
      <rPr>
        <sz val="10"/>
        <rFont val="Arial CE"/>
        <family val="2"/>
        <charset val="238"/>
      </rPr>
      <t>=</t>
    </r>
  </si>
  <si>
    <r>
      <t>P</t>
    </r>
    <r>
      <rPr>
        <vertAlign val="subscript"/>
        <sz val="10"/>
        <rFont val="Arial CE"/>
        <family val="2"/>
        <charset val="238"/>
      </rPr>
      <t xml:space="preserve">23 </t>
    </r>
    <r>
      <rPr>
        <sz val="10"/>
        <rFont val="Arial CE"/>
        <family val="2"/>
        <charset val="238"/>
      </rPr>
      <t>=</t>
    </r>
  </si>
  <si>
    <r>
      <t>P</t>
    </r>
    <r>
      <rPr>
        <vertAlign val="subscript"/>
        <sz val="10"/>
        <rFont val="Arial CE"/>
        <family val="2"/>
        <charset val="238"/>
      </rPr>
      <t xml:space="preserve">22 </t>
    </r>
    <r>
      <rPr>
        <sz val="10"/>
        <rFont val="Arial CE"/>
        <family val="2"/>
        <charset val="238"/>
      </rPr>
      <t>=</t>
    </r>
  </si>
  <si>
    <r>
      <t>P</t>
    </r>
    <r>
      <rPr>
        <vertAlign val="subscript"/>
        <sz val="10"/>
        <rFont val="Arial CE"/>
        <family val="2"/>
        <charset val="238"/>
      </rPr>
      <t xml:space="preserve">21 </t>
    </r>
    <r>
      <rPr>
        <sz val="10"/>
        <rFont val="Arial CE"/>
        <family val="2"/>
        <charset val="238"/>
      </rPr>
      <t>=</t>
    </r>
  </si>
  <si>
    <t>Komfortfokozat</t>
  </si>
  <si>
    <r>
      <t>P</t>
    </r>
    <r>
      <rPr>
        <vertAlign val="subscript"/>
        <sz val="10"/>
        <rFont val="Arial CE"/>
        <family val="2"/>
        <charset val="238"/>
      </rPr>
      <t xml:space="preserve">20 </t>
    </r>
    <r>
      <rPr>
        <sz val="10"/>
        <rFont val="Arial CE"/>
        <family val="2"/>
        <charset val="238"/>
      </rPr>
      <t>=</t>
    </r>
  </si>
  <si>
    <r>
      <t>P</t>
    </r>
    <r>
      <rPr>
        <vertAlign val="subscript"/>
        <sz val="10"/>
        <rFont val="Arial CE"/>
        <family val="2"/>
        <charset val="238"/>
      </rPr>
      <t xml:space="preserve">19 </t>
    </r>
    <r>
      <rPr>
        <sz val="10"/>
        <rFont val="Arial CE"/>
        <family val="2"/>
        <charset val="238"/>
      </rPr>
      <t>=</t>
    </r>
  </si>
  <si>
    <r>
      <t>P</t>
    </r>
    <r>
      <rPr>
        <vertAlign val="subscript"/>
        <sz val="10"/>
        <rFont val="Arial CE"/>
        <family val="2"/>
        <charset val="238"/>
      </rPr>
      <t xml:space="preserve">18 </t>
    </r>
    <r>
      <rPr>
        <sz val="10"/>
        <rFont val="Arial CE"/>
        <family val="2"/>
        <charset val="238"/>
      </rPr>
      <t>=</t>
    </r>
  </si>
  <si>
    <r>
      <t>P</t>
    </r>
    <r>
      <rPr>
        <vertAlign val="subscript"/>
        <sz val="10"/>
        <rFont val="Arial CE"/>
        <family val="2"/>
        <charset val="238"/>
      </rPr>
      <t xml:space="preserve">17 </t>
    </r>
    <r>
      <rPr>
        <sz val="10"/>
        <rFont val="Arial CE"/>
        <family val="2"/>
        <charset val="238"/>
      </rPr>
      <t>=</t>
    </r>
  </si>
  <si>
    <r>
      <t>P</t>
    </r>
    <r>
      <rPr>
        <vertAlign val="subscript"/>
        <sz val="10"/>
        <rFont val="Arial CE"/>
        <family val="2"/>
        <charset val="238"/>
      </rPr>
      <t xml:space="preserve">16 </t>
    </r>
    <r>
      <rPr>
        <sz val="10"/>
        <rFont val="Arial CE"/>
        <family val="2"/>
        <charset val="238"/>
      </rPr>
      <t>=</t>
    </r>
  </si>
  <si>
    <t>Tk [s]</t>
  </si>
  <si>
    <r>
      <t>P</t>
    </r>
    <r>
      <rPr>
        <vertAlign val="subscript"/>
        <sz val="8"/>
        <rFont val="Arial CE"/>
        <family val="2"/>
        <charset val="238"/>
      </rPr>
      <t xml:space="preserve">sz </t>
    </r>
    <r>
      <rPr>
        <sz val="8"/>
        <rFont val="Arial CE"/>
        <family val="2"/>
        <charset val="238"/>
      </rPr>
      <t>[% / 5 min]</t>
    </r>
  </si>
  <si>
    <t>Építményfajták</t>
  </si>
  <si>
    <t>Sorszám</t>
  </si>
  <si>
    <r>
      <t>P</t>
    </r>
    <r>
      <rPr>
        <vertAlign val="subscript"/>
        <sz val="10"/>
        <rFont val="Arial CE"/>
        <family val="2"/>
        <charset val="238"/>
      </rPr>
      <t xml:space="preserve">15 </t>
    </r>
    <r>
      <rPr>
        <sz val="10"/>
        <rFont val="Arial CE"/>
        <family val="2"/>
        <charset val="238"/>
      </rPr>
      <t>=</t>
    </r>
  </si>
  <si>
    <r>
      <t>P</t>
    </r>
    <r>
      <rPr>
        <vertAlign val="subscript"/>
        <sz val="10"/>
        <rFont val="Arial CE"/>
        <family val="2"/>
        <charset val="238"/>
      </rPr>
      <t xml:space="preserve">14 </t>
    </r>
    <r>
      <rPr>
        <sz val="10"/>
        <rFont val="Arial CE"/>
        <family val="2"/>
        <charset val="238"/>
      </rPr>
      <t>=</t>
    </r>
  </si>
  <si>
    <r>
      <t>P</t>
    </r>
    <r>
      <rPr>
        <vertAlign val="subscript"/>
        <sz val="10"/>
        <rFont val="Arial CE"/>
        <family val="2"/>
        <charset val="238"/>
      </rPr>
      <t xml:space="preserve">13 </t>
    </r>
    <r>
      <rPr>
        <sz val="10"/>
        <rFont val="Arial CE"/>
        <family val="2"/>
        <charset val="238"/>
      </rPr>
      <t>=</t>
    </r>
  </si>
  <si>
    <r>
      <t>P</t>
    </r>
    <r>
      <rPr>
        <vertAlign val="subscript"/>
        <sz val="10"/>
        <rFont val="Arial CE"/>
        <family val="2"/>
        <charset val="238"/>
      </rPr>
      <t xml:space="preserve">12 </t>
    </r>
    <r>
      <rPr>
        <sz val="10"/>
        <rFont val="Arial CE"/>
        <family val="2"/>
        <charset val="238"/>
      </rPr>
      <t>=</t>
    </r>
  </si>
  <si>
    <r>
      <t>P</t>
    </r>
    <r>
      <rPr>
        <vertAlign val="subscript"/>
        <sz val="10"/>
        <rFont val="Arial CE"/>
        <family val="2"/>
        <charset val="238"/>
      </rPr>
      <t xml:space="preserve">11 </t>
    </r>
    <r>
      <rPr>
        <sz val="10"/>
        <rFont val="Arial CE"/>
        <family val="2"/>
        <charset val="238"/>
      </rPr>
      <t xml:space="preserve">=    </t>
    </r>
  </si>
  <si>
    <r>
      <t>P</t>
    </r>
    <r>
      <rPr>
        <vertAlign val="subscript"/>
        <sz val="10"/>
        <rFont val="Arial CE"/>
        <family val="2"/>
        <charset val="238"/>
      </rPr>
      <t xml:space="preserve">10 </t>
    </r>
    <r>
      <rPr>
        <sz val="10"/>
        <rFont val="Arial CE"/>
        <family val="2"/>
        <charset val="238"/>
      </rPr>
      <t>=</t>
    </r>
  </si>
  <si>
    <r>
      <t>P</t>
    </r>
    <r>
      <rPr>
        <vertAlign val="subscript"/>
        <sz val="10"/>
        <rFont val="Arial CE"/>
        <family val="2"/>
        <charset val="238"/>
      </rPr>
      <t xml:space="preserve">9 </t>
    </r>
    <r>
      <rPr>
        <sz val="10"/>
        <rFont val="Arial CE"/>
        <family val="2"/>
        <charset val="238"/>
      </rPr>
      <t>=</t>
    </r>
  </si>
  <si>
    <r>
      <t>P</t>
    </r>
    <r>
      <rPr>
        <vertAlign val="subscript"/>
        <sz val="10"/>
        <rFont val="Arial CE"/>
        <family val="2"/>
        <charset val="238"/>
      </rPr>
      <t xml:space="preserve">8 </t>
    </r>
    <r>
      <rPr>
        <sz val="10"/>
        <rFont val="Arial CE"/>
        <family val="2"/>
        <charset val="238"/>
      </rPr>
      <t>=</t>
    </r>
  </si>
  <si>
    <r>
      <t>P</t>
    </r>
    <r>
      <rPr>
        <vertAlign val="subscript"/>
        <sz val="10"/>
        <rFont val="Arial CE"/>
        <family val="2"/>
        <charset val="238"/>
      </rPr>
      <t xml:space="preserve">7 </t>
    </r>
    <r>
      <rPr>
        <sz val="10"/>
        <rFont val="Arial CE"/>
        <family val="2"/>
        <charset val="238"/>
      </rPr>
      <t>=</t>
    </r>
  </si>
  <si>
    <r>
      <t>P</t>
    </r>
    <r>
      <rPr>
        <vertAlign val="subscript"/>
        <sz val="10"/>
        <rFont val="Arial CE"/>
        <family val="2"/>
        <charset val="238"/>
      </rPr>
      <t xml:space="preserve">6 </t>
    </r>
    <r>
      <rPr>
        <sz val="10"/>
        <rFont val="Arial CE"/>
        <family val="2"/>
        <charset val="238"/>
      </rPr>
      <t xml:space="preserve">=  </t>
    </r>
  </si>
  <si>
    <t>Alacsony komfortú lakóház</t>
  </si>
  <si>
    <r>
      <t>P</t>
    </r>
    <r>
      <rPr>
        <vertAlign val="subscript"/>
        <sz val="10"/>
        <rFont val="Arial CE"/>
        <family val="2"/>
        <charset val="238"/>
      </rPr>
      <t xml:space="preserve">5 </t>
    </r>
    <r>
      <rPr>
        <sz val="10"/>
        <rFont val="Arial CE"/>
        <family val="2"/>
        <charset val="238"/>
      </rPr>
      <t>=</t>
    </r>
  </si>
  <si>
    <r>
      <t>P</t>
    </r>
    <r>
      <rPr>
        <vertAlign val="subscript"/>
        <sz val="10"/>
        <rFont val="Arial CE"/>
        <family val="2"/>
        <charset val="238"/>
      </rPr>
      <t xml:space="preserve">4 </t>
    </r>
    <r>
      <rPr>
        <sz val="10"/>
        <rFont val="Arial CE"/>
        <family val="2"/>
        <charset val="238"/>
      </rPr>
      <t>=</t>
    </r>
  </si>
  <si>
    <r>
      <t>P</t>
    </r>
    <r>
      <rPr>
        <vertAlign val="subscript"/>
        <sz val="10"/>
        <rFont val="Arial CE"/>
        <family val="2"/>
        <charset val="238"/>
      </rPr>
      <t xml:space="preserve">3 </t>
    </r>
    <r>
      <rPr>
        <sz val="10"/>
        <rFont val="Arial CE"/>
        <family val="2"/>
        <charset val="238"/>
      </rPr>
      <t>=</t>
    </r>
  </si>
  <si>
    <r>
      <t>P</t>
    </r>
    <r>
      <rPr>
        <vertAlign val="subscript"/>
        <sz val="10"/>
        <rFont val="Arial CE"/>
        <family val="2"/>
        <charset val="238"/>
      </rPr>
      <t xml:space="preserve">2 </t>
    </r>
    <r>
      <rPr>
        <sz val="10"/>
        <rFont val="Arial CE"/>
        <family val="2"/>
        <charset val="238"/>
      </rPr>
      <t>=</t>
    </r>
  </si>
  <si>
    <r>
      <t>P</t>
    </r>
    <r>
      <rPr>
        <vertAlign val="subscript"/>
        <sz val="10"/>
        <rFont val="Arial CE"/>
        <family val="2"/>
        <charset val="238"/>
      </rPr>
      <t xml:space="preserve">1 </t>
    </r>
    <r>
      <rPr>
        <sz val="10"/>
        <rFont val="Arial CE"/>
        <family val="2"/>
        <charset val="238"/>
      </rPr>
      <t xml:space="preserve">= </t>
    </r>
  </si>
  <si>
    <t>Csekély igényű, korlátozott komfortú középület, közepes komfortú lakóház</t>
  </si>
  <si>
    <t>Max. utasszám a legfelső alapállomás feletti i-dik szinten:</t>
  </si>
  <si>
    <t>Közepes igényű és komfortú középület, magas komfortú lakóház</t>
  </si>
  <si>
    <r>
      <t>t</t>
    </r>
    <r>
      <rPr>
        <vertAlign val="subscript"/>
        <sz val="10"/>
        <rFont val="Arial CE"/>
        <family val="2"/>
        <charset val="238"/>
      </rPr>
      <t>6</t>
    </r>
    <r>
      <rPr>
        <sz val="10"/>
        <rFont val="Arial CE"/>
        <family val="2"/>
        <charset val="238"/>
      </rPr>
      <t xml:space="preserve"> =</t>
    </r>
  </si>
  <si>
    <t>Az ajtóműködtetés esetleges késleltetési ideje:</t>
  </si>
  <si>
    <t>Magas igényű, nagy komfortú középület</t>
  </si>
  <si>
    <r>
      <t>t</t>
    </r>
    <r>
      <rPr>
        <vertAlign val="subscript"/>
        <sz val="10"/>
        <rFont val="Arial CE"/>
        <family val="2"/>
        <charset val="238"/>
      </rPr>
      <t>4</t>
    </r>
    <r>
      <rPr>
        <sz val="10"/>
        <rFont val="Arial CE"/>
        <family val="2"/>
        <charset val="238"/>
      </rPr>
      <t xml:space="preserve"> =</t>
    </r>
  </si>
  <si>
    <t>Az ajtók csukódása és a felvonó elindulása közötti idő:</t>
  </si>
  <si>
    <r>
      <t>T</t>
    </r>
    <r>
      <rPr>
        <vertAlign val="subscript"/>
        <sz val="8"/>
        <rFont val="Arial CE"/>
        <family val="2"/>
        <charset val="238"/>
      </rPr>
      <t xml:space="preserve">H </t>
    </r>
    <r>
      <rPr>
        <sz val="8"/>
        <rFont val="Arial CE"/>
        <family val="2"/>
        <charset val="238"/>
      </rPr>
      <t xml:space="preserve"> [s]</t>
    </r>
  </si>
  <si>
    <r>
      <t>t</t>
    </r>
    <r>
      <rPr>
        <vertAlign val="subscript"/>
        <sz val="10"/>
        <rFont val="Arial CE"/>
        <family val="2"/>
        <charset val="238"/>
      </rPr>
      <t>3</t>
    </r>
    <r>
      <rPr>
        <sz val="10"/>
        <rFont val="Arial CE"/>
        <family val="2"/>
        <charset val="238"/>
      </rPr>
      <t xml:space="preserve"> =</t>
    </r>
  </si>
  <si>
    <t>A kiszállási idő utasonként (táblázatból):</t>
  </si>
  <si>
    <r>
      <t>t</t>
    </r>
    <r>
      <rPr>
        <vertAlign val="subscript"/>
        <sz val="10"/>
        <rFont val="Arial CE"/>
        <family val="2"/>
        <charset val="238"/>
      </rPr>
      <t>2</t>
    </r>
    <r>
      <rPr>
        <sz val="10"/>
        <rFont val="Arial CE"/>
        <family val="2"/>
        <charset val="238"/>
      </rPr>
      <t xml:space="preserve"> = </t>
    </r>
  </si>
  <si>
    <t>A beszállási idő utasonként (táblázatból):</t>
  </si>
  <si>
    <r>
      <t>t</t>
    </r>
    <r>
      <rPr>
        <vertAlign val="subscript"/>
        <sz val="10"/>
        <rFont val="Arial CE"/>
        <family val="2"/>
        <charset val="238"/>
      </rPr>
      <t>1</t>
    </r>
    <r>
      <rPr>
        <sz val="10"/>
        <rFont val="Arial CE"/>
        <family val="2"/>
        <charset val="238"/>
      </rPr>
      <t xml:space="preserve"> =</t>
    </r>
  </si>
  <si>
    <t>Az ajtó nyitási és csukási ideje:</t>
  </si>
  <si>
    <r>
      <t>H</t>
    </r>
    <r>
      <rPr>
        <vertAlign val="subscript"/>
        <sz val="10"/>
        <rFont val="Arial CE"/>
        <family val="2"/>
        <charset val="238"/>
      </rPr>
      <t>a5-6</t>
    </r>
    <r>
      <rPr>
        <sz val="10"/>
        <rFont val="Arial CE"/>
        <family val="2"/>
        <charset val="238"/>
      </rPr>
      <t>=</t>
    </r>
  </si>
  <si>
    <t>5-6 alapállomás közötti távolság:</t>
  </si>
  <si>
    <r>
      <t>H</t>
    </r>
    <r>
      <rPr>
        <vertAlign val="subscript"/>
        <sz val="10"/>
        <rFont val="Arial CE"/>
        <family val="2"/>
        <charset val="238"/>
      </rPr>
      <t>a4-5</t>
    </r>
    <r>
      <rPr>
        <sz val="10"/>
        <rFont val="Arial CE"/>
        <family val="2"/>
        <charset val="238"/>
      </rPr>
      <t>=</t>
    </r>
  </si>
  <si>
    <t>4-5 alapállomás közötti távolság:</t>
  </si>
  <si>
    <r>
      <t>H</t>
    </r>
    <r>
      <rPr>
        <vertAlign val="subscript"/>
        <sz val="10"/>
        <rFont val="Arial CE"/>
        <family val="2"/>
        <charset val="238"/>
      </rPr>
      <t>a3-4</t>
    </r>
    <r>
      <rPr>
        <sz val="10"/>
        <rFont val="Arial CE"/>
        <family val="2"/>
        <charset val="238"/>
      </rPr>
      <t>=</t>
    </r>
  </si>
  <si>
    <t>3-4 alapállomás közötti távolság:</t>
  </si>
  <si>
    <r>
      <t>H</t>
    </r>
    <r>
      <rPr>
        <vertAlign val="subscript"/>
        <sz val="10"/>
        <rFont val="Arial CE"/>
        <family val="2"/>
        <charset val="238"/>
      </rPr>
      <t>a2-3</t>
    </r>
    <r>
      <rPr>
        <sz val="10"/>
        <rFont val="Arial CE"/>
        <family val="2"/>
        <charset val="238"/>
      </rPr>
      <t>=</t>
    </r>
  </si>
  <si>
    <t>2-3 alapállomás közötti távolság:</t>
  </si>
  <si>
    <r>
      <t>H</t>
    </r>
    <r>
      <rPr>
        <vertAlign val="subscript"/>
        <sz val="10"/>
        <rFont val="Arial CE"/>
        <family val="2"/>
        <charset val="238"/>
      </rPr>
      <t>a1-2</t>
    </r>
    <r>
      <rPr>
        <sz val="10"/>
        <rFont val="Arial CE"/>
        <family val="2"/>
        <charset val="238"/>
      </rPr>
      <t>=</t>
    </r>
  </si>
  <si>
    <t>1-2 alapállomás közötti távolság:</t>
  </si>
  <si>
    <r>
      <t>m/s</t>
    </r>
    <r>
      <rPr>
        <vertAlign val="superscript"/>
        <sz val="10"/>
        <rFont val="Arial CE"/>
        <family val="2"/>
        <charset val="238"/>
      </rPr>
      <t>3</t>
    </r>
    <r>
      <rPr>
        <sz val="10"/>
        <rFont val="Arial CE"/>
        <family val="2"/>
        <charset val="238"/>
      </rPr>
      <t/>
    </r>
  </si>
  <si>
    <t>j =</t>
  </si>
  <si>
    <t>Rántás:</t>
  </si>
  <si>
    <r>
      <t>m/s</t>
    </r>
    <r>
      <rPr>
        <vertAlign val="superscript"/>
        <sz val="10"/>
        <rFont val="Arial CE"/>
        <family val="2"/>
        <charset val="238"/>
      </rPr>
      <t>2</t>
    </r>
    <r>
      <rPr>
        <sz val="10"/>
        <rFont val="Arial CE"/>
        <family val="2"/>
        <charset val="238"/>
      </rPr>
      <t xml:space="preserve"> </t>
    </r>
  </si>
  <si>
    <t>a =</t>
  </si>
  <si>
    <t>Üzemi gyorsulás:</t>
  </si>
  <si>
    <t>v =</t>
  </si>
  <si>
    <t>A felvonó tényleges névleges sebessége:</t>
  </si>
  <si>
    <t>Ajtó-előnyitás ideje</t>
  </si>
  <si>
    <t>Az ajtók típusa: centrál: "2",       teleszkópos: "3"</t>
  </si>
  <si>
    <t>mm</t>
  </si>
  <si>
    <t>AS =</t>
  </si>
  <si>
    <t>Az ajtók szabadnyílása (700 - 1400):</t>
  </si>
  <si>
    <t>HA=</t>
  </si>
  <si>
    <t>A legfelső alapállomás és a legfelső kiszolgált szint távolsága:</t>
  </si>
  <si>
    <t>A=</t>
  </si>
  <si>
    <r>
      <t xml:space="preserve">Az alapállomások száma: </t>
    </r>
    <r>
      <rPr>
        <b/>
        <sz val="10"/>
        <rFont val="Arial CE"/>
        <family val="2"/>
        <charset val="238"/>
      </rPr>
      <t>1-6</t>
    </r>
    <r>
      <rPr>
        <sz val="10"/>
        <rFont val="Arial CE"/>
        <family val="2"/>
        <charset val="238"/>
      </rPr>
      <t xml:space="preserve"> </t>
    </r>
  </si>
  <si>
    <t>N =</t>
  </si>
  <si>
    <t>A legfelső alapállomás felett kiszolgált szintek száma:</t>
  </si>
  <si>
    <r>
      <t>N</t>
    </r>
    <r>
      <rPr>
        <vertAlign val="subscript"/>
        <sz val="10"/>
        <rFont val="Arial CE"/>
        <family val="2"/>
        <charset val="238"/>
      </rPr>
      <t>ö</t>
    </r>
    <r>
      <rPr>
        <sz val="10"/>
        <rFont val="Arial CE"/>
        <family val="2"/>
        <charset val="238"/>
      </rPr>
      <t xml:space="preserve"> =</t>
    </r>
  </si>
  <si>
    <t>Összes szintek száma:</t>
  </si>
  <si>
    <t xml:space="preserve">H = </t>
  </si>
  <si>
    <t>Emelési magasság:</t>
  </si>
  <si>
    <r>
      <t>T</t>
    </r>
    <r>
      <rPr>
        <vertAlign val="subscript"/>
        <sz val="10"/>
        <rFont val="Arial CE"/>
        <family val="2"/>
        <charset val="238"/>
      </rPr>
      <t>H</t>
    </r>
    <r>
      <rPr>
        <sz val="10"/>
        <rFont val="Arial CE"/>
        <family val="2"/>
        <charset val="238"/>
      </rPr>
      <t xml:space="preserve"> =</t>
    </r>
  </si>
  <si>
    <t>Elméleti menetidő követelmény legfeljebb:</t>
  </si>
  <si>
    <r>
      <t>T</t>
    </r>
    <r>
      <rPr>
        <vertAlign val="subscript"/>
        <sz val="10"/>
        <rFont val="Arial CE"/>
        <family val="2"/>
        <charset val="238"/>
      </rPr>
      <t>k</t>
    </r>
    <r>
      <rPr>
        <sz val="10"/>
        <rFont val="Arial CE"/>
        <family val="2"/>
        <charset val="238"/>
      </rPr>
      <t xml:space="preserve"> =  </t>
    </r>
  </si>
  <si>
    <t>Követési idő követelmény legfeljebb:</t>
  </si>
  <si>
    <r>
      <t>P</t>
    </r>
    <r>
      <rPr>
        <vertAlign val="subscript"/>
        <sz val="10"/>
        <rFont val="Arial CE"/>
        <family val="2"/>
        <charset val="238"/>
      </rPr>
      <t>sz</t>
    </r>
    <r>
      <rPr>
        <sz val="10"/>
        <rFont val="Arial CE"/>
        <family val="2"/>
        <charset val="238"/>
      </rPr>
      <t xml:space="preserve"> =</t>
    </r>
  </si>
  <si>
    <t>Ötperces fajlagos szállítási teljesítmény követelmény legalább:</t>
  </si>
  <si>
    <r>
      <t>Bemenő adatok</t>
    </r>
    <r>
      <rPr>
        <b/>
        <sz val="10"/>
        <rFont val="Arial CE"/>
        <charset val="238"/>
      </rPr>
      <t>:</t>
    </r>
  </si>
  <si>
    <t>gyüjtő vezérléssel</t>
  </si>
  <si>
    <t>kg/</t>
  </si>
  <si>
    <t>Választott személyfelvonó(k):</t>
  </si>
  <si>
    <t>max.</t>
  </si>
  <si>
    <t>min.</t>
  </si>
  <si>
    <r>
      <t>Lényeges számított adatok</t>
    </r>
    <r>
      <rPr>
        <b/>
        <sz val="10"/>
        <rFont val="Arial CE"/>
        <charset val="238"/>
      </rPr>
      <t>:</t>
    </r>
  </si>
  <si>
    <t>Komfortfokozat:</t>
  </si>
  <si>
    <t>Épület fajta:</t>
  </si>
  <si>
    <t>Beépítési hely:</t>
  </si>
  <si>
    <t>N</t>
  </si>
  <si>
    <t>-</t>
  </si>
  <si>
    <t>M_2:</t>
  </si>
  <si>
    <t>M_1:</t>
  </si>
  <si>
    <t>Munkaszám(ok):</t>
  </si>
  <si>
    <t>B</t>
  </si>
  <si>
    <t>Forgalmi képesség számítás száma:</t>
  </si>
  <si>
    <r>
      <t>Kiszállási idő utasonként (</t>
    </r>
    <r>
      <rPr>
        <b/>
        <sz val="8"/>
        <rFont val="Arial CE"/>
        <family val="2"/>
        <charset val="238"/>
      </rPr>
      <t>t</t>
    </r>
    <r>
      <rPr>
        <vertAlign val="subscript"/>
        <sz val="8"/>
        <rFont val="Arial CE"/>
        <family val="2"/>
        <charset val="238"/>
      </rPr>
      <t>3</t>
    </r>
    <r>
      <rPr>
        <sz val="8"/>
        <rFont val="Arial CE"/>
        <family val="2"/>
        <charset val="238"/>
      </rPr>
      <t>):</t>
    </r>
  </si>
  <si>
    <t>dátum:</t>
  </si>
  <si>
    <t>készítette:</t>
  </si>
  <si>
    <t>Azonosító alapadatok:</t>
  </si>
  <si>
    <t>az MSZ 15695 szabvány alapján</t>
  </si>
  <si>
    <t>Személyszállító felvonók forgalmi képességének meghatározása</t>
  </si>
  <si>
    <t>Város, Utca, Hsz.</t>
  </si>
  <si>
    <t>Hrsz.:</t>
  </si>
  <si>
    <t>F-T</t>
  </si>
  <si>
    <t>A számítás a szabvány 3.12. pontja szerint azonos befogadóképességet vesz figyelembe.</t>
  </si>
  <si>
    <t>újszerelés kivitelezési vezető</t>
  </si>
  <si>
    <t>• 28/2016(VIII.23.) NGM rendelet a felvonók és a felvonókhoz készült biztonsági berendezések biztonsági követelményeiről és megfelelőségének tanúsításáról;</t>
  </si>
  <si>
    <t>H-1134 Budapest,</t>
  </si>
  <si>
    <t>Váci út 37.</t>
  </si>
  <si>
    <t>Mint felelős tervező kijelentem, hogy a tervezett műszaki megoldás megfelel a vonatkozó jogszabályoknak és hatósági előírásoknak. A tervezett műszaki megoldás biztosítja az élet- és vagyonbiztonság, az egészség, a környezet és a kulturális örökség védelmét. Az alkalmazott lényeges előírások:</t>
  </si>
  <si>
    <t xml:space="preserve">A tervezett berendezés a vonatkozó műszaki előírásoktól </t>
  </si>
  <si>
    <t>Az engedélyezési terv és a kiviteli terv összhangban van.</t>
  </si>
  <si>
    <t>A kiviteli terv eltér az engedélyezési tervtől:</t>
  </si>
  <si>
    <t>Premier (Stream)</t>
  </si>
  <si>
    <t>Comfort (Life), GeNESIS</t>
  </si>
  <si>
    <t>Flex</t>
  </si>
  <si>
    <t>Flex+</t>
  </si>
  <si>
    <t>Switch</t>
  </si>
  <si>
    <t>Easy Life</t>
  </si>
  <si>
    <t>LRQA: 0088/0961143/058</t>
  </si>
  <si>
    <t>ATISAE: ATI / ASC / 001</t>
  </si>
  <si>
    <t>LRQA: 0088/0961143/059</t>
  </si>
  <si>
    <t>ATISAE: ATI / ASC / 002</t>
  </si>
  <si>
    <t>ATISAE: ATI / ASC / 003</t>
  </si>
  <si>
    <t>ATISAE: ATI / ASC / CA014</t>
  </si>
  <si>
    <t>BV: CE-0056-MD-ZOT-001-12-ESP, rev. C</t>
  </si>
  <si>
    <t>Tanúsítvány</t>
  </si>
  <si>
    <t>A többi rendelet és szabvány rejtett sorokban van!</t>
  </si>
  <si>
    <t>Műszaki adatok</t>
  </si>
  <si>
    <t>MŰSZAKI ADATOK</t>
  </si>
  <si>
    <t>Fő műszaki adatok:</t>
  </si>
  <si>
    <t>5.</t>
  </si>
  <si>
    <t>6.</t>
  </si>
  <si>
    <t>7.</t>
  </si>
  <si>
    <t>8.</t>
  </si>
  <si>
    <t>Egyéb műszaki adatok:</t>
  </si>
  <si>
    <r>
      <t>P'</t>
    </r>
    <r>
      <rPr>
        <b/>
        <vertAlign val="subscript"/>
        <sz val="10"/>
        <rFont val="Arial CE"/>
        <charset val="238"/>
      </rPr>
      <t xml:space="preserve">sz1 </t>
    </r>
    <r>
      <rPr>
        <b/>
        <sz val="10"/>
        <rFont val="Arial CE"/>
        <charset val="238"/>
      </rPr>
      <t>=</t>
    </r>
  </si>
  <si>
    <r>
      <t>T'</t>
    </r>
    <r>
      <rPr>
        <b/>
        <vertAlign val="subscript"/>
        <sz val="10"/>
        <rFont val="Arial CE"/>
        <charset val="238"/>
      </rPr>
      <t xml:space="preserve">k1 </t>
    </r>
    <r>
      <rPr>
        <b/>
        <sz val="10"/>
        <rFont val="Arial CE"/>
        <charset val="238"/>
      </rPr>
      <t>=</t>
    </r>
  </si>
  <si>
    <r>
      <t>T'</t>
    </r>
    <r>
      <rPr>
        <b/>
        <vertAlign val="subscript"/>
        <sz val="10"/>
        <rFont val="Arial CE"/>
        <charset val="238"/>
      </rPr>
      <t xml:space="preserve">H1 </t>
    </r>
    <r>
      <rPr>
        <b/>
        <sz val="10"/>
        <rFont val="Arial CE"/>
        <charset val="238"/>
      </rPr>
      <t>=</t>
    </r>
  </si>
  <si>
    <t>Balogh Lajos</t>
  </si>
  <si>
    <t>Név</t>
  </si>
  <si>
    <t>Kelt</t>
  </si>
  <si>
    <t xml:space="preserve">Rajzszám: </t>
  </si>
  <si>
    <t>Tervező</t>
  </si>
  <si>
    <t>Jóváhagyó</t>
  </si>
  <si>
    <t>A számítás egy lapból áll,    1/1 lap</t>
  </si>
  <si>
    <t>Matuszka Zoltán</t>
  </si>
  <si>
    <t>03-0595</t>
  </si>
  <si>
    <t>zoltan.matuszka@otis.com</t>
  </si>
  <si>
    <t>06-70-515-8595</t>
  </si>
  <si>
    <t>Fazekas Gábor</t>
  </si>
  <si>
    <t>01-0515</t>
  </si>
  <si>
    <t>Jogosultság száma</t>
  </si>
  <si>
    <t>lajos.balogh@otis.com</t>
  </si>
  <si>
    <t>gabor.fazekas@otis.com</t>
  </si>
  <si>
    <t>E-mail</t>
  </si>
  <si>
    <t>06-1-430-4662</t>
  </si>
  <si>
    <t>Tel.</t>
  </si>
  <si>
    <t>MMK:</t>
  </si>
  <si>
    <t>, F-T</t>
  </si>
  <si>
    <t>Comfort (Life), GeNESIS spanyol</t>
  </si>
  <si>
    <t>Alapadatok</t>
  </si>
  <si>
    <t>Q</t>
  </si>
  <si>
    <t>P</t>
  </si>
  <si>
    <t>q</t>
  </si>
  <si>
    <t>v</t>
  </si>
  <si>
    <t>Névleges teherbírás</t>
  </si>
  <si>
    <t>Fülke tömeg</t>
  </si>
  <si>
    <t>Hajtómű tömege</t>
  </si>
  <si>
    <t>Egy fülke-vezetősín max. tömege</t>
  </si>
  <si>
    <t>Egy ellensúly-vezetősín max. tömege</t>
  </si>
  <si>
    <t>Emelőhorog teherbírása</t>
  </si>
  <si>
    <t>Fülke mélysége</t>
  </si>
  <si>
    <t>Fülke szélessége</t>
  </si>
  <si>
    <t>Fülke vezetők függőleges távolsága</t>
  </si>
  <si>
    <t>Nehézségi gyorsulás</t>
  </si>
  <si>
    <t>kiegyenlítési tényező</t>
  </si>
  <si>
    <t>Fülke oldali mötélbekötő tömege</t>
  </si>
  <si>
    <t>Menetsebesség</t>
  </si>
  <si>
    <t>A felvonó működéséből származó, az épületre átadódó erők számítása</t>
  </si>
  <si>
    <t>-Süllyesztékpadló terhelései:</t>
  </si>
  <si>
    <r>
      <t>P</t>
    </r>
    <r>
      <rPr>
        <b/>
        <vertAlign val="subscript"/>
        <sz val="10"/>
        <rFont val="Arial CE"/>
        <charset val="238"/>
      </rPr>
      <t xml:space="preserve">1 </t>
    </r>
    <r>
      <rPr>
        <b/>
        <sz val="10"/>
        <rFont val="Arial CE"/>
        <charset val="238"/>
      </rPr>
      <t>=</t>
    </r>
  </si>
  <si>
    <r>
      <t>P</t>
    </r>
    <r>
      <rPr>
        <b/>
        <vertAlign val="subscript"/>
        <sz val="10"/>
        <rFont val="Arial CE"/>
        <charset val="238"/>
      </rPr>
      <t xml:space="preserve">2 </t>
    </r>
    <r>
      <rPr>
        <b/>
        <sz val="10"/>
        <rFont val="Arial CE"/>
        <charset val="238"/>
      </rPr>
      <t>=</t>
    </r>
  </si>
  <si>
    <r>
      <t>P</t>
    </r>
    <r>
      <rPr>
        <b/>
        <vertAlign val="subscript"/>
        <sz val="10"/>
        <rFont val="Arial CE"/>
        <charset val="238"/>
      </rPr>
      <t xml:space="preserve">3 </t>
    </r>
    <r>
      <rPr>
        <b/>
        <sz val="10"/>
        <rFont val="Arial CE"/>
        <charset val="238"/>
      </rPr>
      <t>=</t>
    </r>
  </si>
  <si>
    <r>
      <t>P</t>
    </r>
    <r>
      <rPr>
        <b/>
        <vertAlign val="subscript"/>
        <sz val="10"/>
        <rFont val="Arial CE"/>
        <charset val="238"/>
      </rPr>
      <t xml:space="preserve">4 </t>
    </r>
    <r>
      <rPr>
        <b/>
        <sz val="10"/>
        <rFont val="Arial CE"/>
        <charset val="238"/>
      </rPr>
      <t>=</t>
    </r>
  </si>
  <si>
    <r>
      <t>P</t>
    </r>
    <r>
      <rPr>
        <b/>
        <vertAlign val="subscript"/>
        <sz val="10"/>
        <rFont val="Arial CE"/>
        <charset val="238"/>
      </rPr>
      <t xml:space="preserve">5 </t>
    </r>
    <r>
      <rPr>
        <b/>
        <sz val="10"/>
        <rFont val="Arial CE"/>
        <charset val="238"/>
      </rPr>
      <t>=</t>
    </r>
  </si>
  <si>
    <t>-Akna zárófödém terhelése:</t>
  </si>
  <si>
    <r>
      <t>P</t>
    </r>
    <r>
      <rPr>
        <b/>
        <vertAlign val="subscript"/>
        <sz val="10"/>
        <rFont val="Arial CE"/>
        <charset val="238"/>
      </rPr>
      <t xml:space="preserve">6 </t>
    </r>
    <r>
      <rPr>
        <b/>
        <sz val="10"/>
        <rFont val="Arial CE"/>
        <charset val="238"/>
      </rPr>
      <t>=</t>
    </r>
  </si>
  <si>
    <t>-Fülke vezetősínre ható vízszintes erők, amik a gyámokon keresztűl az akna oldalfalra átadódnak:</t>
  </si>
  <si>
    <r>
      <t>R</t>
    </r>
    <r>
      <rPr>
        <b/>
        <vertAlign val="subscript"/>
        <sz val="10"/>
        <rFont val="Arial CE"/>
        <charset val="238"/>
      </rPr>
      <t xml:space="preserve">1 </t>
    </r>
    <r>
      <rPr>
        <b/>
        <sz val="10"/>
        <rFont val="Arial CE"/>
        <charset val="238"/>
      </rPr>
      <t>=</t>
    </r>
  </si>
  <si>
    <r>
      <t>R</t>
    </r>
    <r>
      <rPr>
        <b/>
        <vertAlign val="subscript"/>
        <sz val="10"/>
        <rFont val="Arial CE"/>
        <charset val="238"/>
      </rPr>
      <t xml:space="preserve">2 </t>
    </r>
    <r>
      <rPr>
        <b/>
        <sz val="10"/>
        <rFont val="Arial CE"/>
        <charset val="238"/>
      </rPr>
      <t>=</t>
    </r>
  </si>
  <si>
    <t>kd</t>
  </si>
  <si>
    <t>k1</t>
  </si>
  <si>
    <t>kb</t>
  </si>
  <si>
    <t>Biztonsági tényező</t>
  </si>
  <si>
    <t>Dinamikus tényező</t>
  </si>
  <si>
    <r>
      <t>G</t>
    </r>
    <r>
      <rPr>
        <b/>
        <vertAlign val="subscript"/>
        <sz val="11"/>
        <rFont val="Arial CE"/>
        <charset val="238"/>
      </rPr>
      <t>h</t>
    </r>
  </si>
  <si>
    <r>
      <t>G</t>
    </r>
    <r>
      <rPr>
        <b/>
        <vertAlign val="subscript"/>
        <sz val="11"/>
        <rFont val="Arial CE"/>
        <charset val="238"/>
      </rPr>
      <t>vf</t>
    </r>
  </si>
  <si>
    <r>
      <t>G</t>
    </r>
    <r>
      <rPr>
        <b/>
        <vertAlign val="subscript"/>
        <sz val="11"/>
        <rFont val="Arial CE"/>
        <charset val="238"/>
      </rPr>
      <t>ve</t>
    </r>
  </si>
  <si>
    <r>
      <t>G</t>
    </r>
    <r>
      <rPr>
        <b/>
        <vertAlign val="subscript"/>
        <sz val="11"/>
        <rFont val="Arial CE"/>
        <charset val="238"/>
      </rPr>
      <t>bk</t>
    </r>
  </si>
  <si>
    <r>
      <t>T</t>
    </r>
    <r>
      <rPr>
        <b/>
        <vertAlign val="subscript"/>
        <sz val="11"/>
        <rFont val="Arial CE"/>
        <charset val="238"/>
      </rPr>
      <t>h</t>
    </r>
  </si>
  <si>
    <r>
      <t>D</t>
    </r>
    <r>
      <rPr>
        <b/>
        <vertAlign val="subscript"/>
        <sz val="11"/>
        <rFont val="Arial CE"/>
        <charset val="238"/>
      </rPr>
      <t>x</t>
    </r>
  </si>
  <si>
    <r>
      <t>D</t>
    </r>
    <r>
      <rPr>
        <b/>
        <vertAlign val="subscript"/>
        <sz val="11"/>
        <rFont val="Arial CE"/>
        <charset val="238"/>
      </rPr>
      <t>y</t>
    </r>
  </si>
  <si>
    <r>
      <t>h</t>
    </r>
    <r>
      <rPr>
        <b/>
        <vertAlign val="subscript"/>
        <sz val="11"/>
        <rFont val="Arial CE"/>
        <charset val="238"/>
      </rPr>
      <t>v</t>
    </r>
  </si>
  <si>
    <r>
      <t>g</t>
    </r>
    <r>
      <rPr>
        <b/>
        <vertAlign val="subscript"/>
        <sz val="11"/>
        <rFont val="Arial CE"/>
        <charset val="238"/>
      </rPr>
      <t>n</t>
    </r>
  </si>
  <si>
    <r>
      <t>m/s</t>
    </r>
    <r>
      <rPr>
        <b/>
        <vertAlign val="superscript"/>
        <sz val="11"/>
        <rFont val="Arial CE"/>
        <charset val="238"/>
      </rPr>
      <t>2</t>
    </r>
  </si>
  <si>
    <t>Alkalmazott fogókészülék dinamikus tényezője</t>
  </si>
  <si>
    <r>
      <t>g</t>
    </r>
    <r>
      <rPr>
        <vertAlign val="subscript"/>
        <sz val="10"/>
        <rFont val="Arial CE"/>
        <charset val="238"/>
      </rPr>
      <t>n</t>
    </r>
    <r>
      <rPr>
        <sz val="10"/>
        <rFont val="Arial CE"/>
        <charset val="238"/>
      </rPr>
      <t xml:space="preserve"> * k</t>
    </r>
    <r>
      <rPr>
        <vertAlign val="subscript"/>
        <sz val="10"/>
        <rFont val="Arial CE"/>
        <charset val="238"/>
      </rPr>
      <t>d</t>
    </r>
    <r>
      <rPr>
        <sz val="10"/>
        <rFont val="Arial CE"/>
        <charset val="238"/>
      </rPr>
      <t xml:space="preserve"> * (Q + P) / 2 =</t>
    </r>
  </si>
  <si>
    <r>
      <t>g</t>
    </r>
    <r>
      <rPr>
        <vertAlign val="subscript"/>
        <sz val="10"/>
        <rFont val="Arial CE"/>
        <charset val="238"/>
      </rPr>
      <t>n</t>
    </r>
    <r>
      <rPr>
        <sz val="10"/>
        <rFont val="Arial CE"/>
        <charset val="238"/>
      </rPr>
      <t xml:space="preserve"> * (k</t>
    </r>
    <r>
      <rPr>
        <vertAlign val="subscript"/>
        <sz val="10"/>
        <rFont val="Arial CE"/>
        <charset val="238"/>
      </rPr>
      <t>1</t>
    </r>
    <r>
      <rPr>
        <sz val="10"/>
        <rFont val="Arial CE"/>
        <charset val="238"/>
      </rPr>
      <t xml:space="preserve"> * (k</t>
    </r>
    <r>
      <rPr>
        <vertAlign val="subscript"/>
        <sz val="10"/>
        <rFont val="Arial CE"/>
        <charset val="238"/>
      </rPr>
      <t>b</t>
    </r>
    <r>
      <rPr>
        <sz val="10"/>
        <rFont val="Arial CE"/>
        <charset val="238"/>
      </rPr>
      <t xml:space="preserve"> * Q + P) / 2 + G</t>
    </r>
    <r>
      <rPr>
        <vertAlign val="subscript"/>
        <sz val="10"/>
        <rFont val="Arial CE"/>
        <charset val="238"/>
      </rPr>
      <t>vf</t>
    </r>
    <r>
      <rPr>
        <sz val="10"/>
        <rFont val="Arial CE"/>
        <charset val="238"/>
      </rPr>
      <t xml:space="preserve"> + G</t>
    </r>
    <r>
      <rPr>
        <vertAlign val="subscript"/>
        <sz val="10"/>
        <rFont val="Arial CE"/>
        <charset val="238"/>
      </rPr>
      <t>bk</t>
    </r>
    <r>
      <rPr>
        <sz val="10"/>
        <rFont val="Arial CE"/>
        <charset val="238"/>
      </rPr>
      <t>) =</t>
    </r>
  </si>
  <si>
    <r>
      <t>g</t>
    </r>
    <r>
      <rPr>
        <vertAlign val="subscript"/>
        <sz val="10"/>
        <rFont val="Arial CE"/>
        <charset val="238"/>
      </rPr>
      <t>n</t>
    </r>
    <r>
      <rPr>
        <sz val="10"/>
        <rFont val="Arial CE"/>
        <charset val="238"/>
      </rPr>
      <t xml:space="preserve"> * k</t>
    </r>
    <r>
      <rPr>
        <vertAlign val="subscript"/>
        <sz val="10"/>
        <rFont val="Arial CE"/>
        <charset val="238"/>
      </rPr>
      <t>1</t>
    </r>
    <r>
      <rPr>
        <sz val="10"/>
        <rFont val="Arial CE"/>
        <charset val="238"/>
      </rPr>
      <t xml:space="preserve"> * (k</t>
    </r>
    <r>
      <rPr>
        <vertAlign val="subscript"/>
        <sz val="10"/>
        <rFont val="Arial CE"/>
        <charset val="238"/>
      </rPr>
      <t>b</t>
    </r>
    <r>
      <rPr>
        <sz val="10"/>
        <rFont val="Arial CE"/>
        <charset val="238"/>
      </rPr>
      <t xml:space="preserve"> * Q * D</t>
    </r>
    <r>
      <rPr>
        <vertAlign val="subscript"/>
        <sz val="10"/>
        <rFont val="Arial CE"/>
        <charset val="238"/>
      </rPr>
      <t>y</t>
    </r>
    <r>
      <rPr>
        <sz val="10"/>
        <rFont val="Arial CE"/>
        <charset val="238"/>
      </rPr>
      <t>) / (8 * h</t>
    </r>
    <r>
      <rPr>
        <vertAlign val="subscript"/>
        <sz val="10"/>
        <rFont val="Arial CE"/>
        <charset val="238"/>
      </rPr>
      <t>v</t>
    </r>
    <r>
      <rPr>
        <sz val="10"/>
        <rFont val="Arial CE"/>
        <charset val="238"/>
      </rPr>
      <t>) =</t>
    </r>
  </si>
  <si>
    <r>
      <t>g</t>
    </r>
    <r>
      <rPr>
        <vertAlign val="subscript"/>
        <sz val="10"/>
        <rFont val="Arial CE"/>
        <charset val="238"/>
      </rPr>
      <t>n</t>
    </r>
    <r>
      <rPr>
        <sz val="10"/>
        <rFont val="Arial CE"/>
        <charset val="238"/>
      </rPr>
      <t xml:space="preserve"> * k</t>
    </r>
    <r>
      <rPr>
        <vertAlign val="subscript"/>
        <sz val="10"/>
        <rFont val="Arial CE"/>
        <charset val="238"/>
      </rPr>
      <t>1</t>
    </r>
    <r>
      <rPr>
        <sz val="10"/>
        <rFont val="Arial CE"/>
        <charset val="238"/>
      </rPr>
      <t xml:space="preserve"> * (k</t>
    </r>
    <r>
      <rPr>
        <vertAlign val="subscript"/>
        <sz val="10"/>
        <rFont val="Arial CE"/>
        <charset val="238"/>
      </rPr>
      <t>b</t>
    </r>
    <r>
      <rPr>
        <sz val="10"/>
        <rFont val="Arial CE"/>
        <charset val="238"/>
      </rPr>
      <t xml:space="preserve"> * Q * D</t>
    </r>
    <r>
      <rPr>
        <vertAlign val="subscript"/>
        <sz val="10"/>
        <rFont val="Arial CE"/>
        <charset val="238"/>
      </rPr>
      <t>x</t>
    </r>
    <r>
      <rPr>
        <sz val="10"/>
        <rFont val="Arial CE"/>
        <charset val="238"/>
      </rPr>
      <t>) / (16 * h</t>
    </r>
    <r>
      <rPr>
        <vertAlign val="subscript"/>
        <sz val="10"/>
        <rFont val="Arial CE"/>
        <charset val="238"/>
      </rPr>
      <t>v</t>
    </r>
    <r>
      <rPr>
        <sz val="10"/>
        <rFont val="Arial CE"/>
        <charset val="238"/>
      </rPr>
      <t>) =</t>
    </r>
  </si>
  <si>
    <r>
      <t>g</t>
    </r>
    <r>
      <rPr>
        <vertAlign val="subscript"/>
        <sz val="10"/>
        <rFont val="Arial CE"/>
        <charset val="238"/>
      </rPr>
      <t>n</t>
    </r>
    <r>
      <rPr>
        <sz val="10"/>
        <rFont val="Arial CE"/>
        <charset val="238"/>
      </rPr>
      <t xml:space="preserve"> * (k</t>
    </r>
    <r>
      <rPr>
        <vertAlign val="subscript"/>
        <sz val="10"/>
        <rFont val="Arial CE"/>
        <charset val="238"/>
      </rPr>
      <t>1</t>
    </r>
    <r>
      <rPr>
        <sz val="10"/>
        <rFont val="Arial CE"/>
        <charset val="238"/>
      </rPr>
      <t xml:space="preserve"> * (k</t>
    </r>
    <r>
      <rPr>
        <vertAlign val="subscript"/>
        <sz val="10"/>
        <rFont val="Arial CE"/>
        <charset val="238"/>
      </rPr>
      <t>b</t>
    </r>
    <r>
      <rPr>
        <sz val="10"/>
        <rFont val="Arial CE"/>
        <charset val="238"/>
      </rPr>
      <t xml:space="preserve"> * Q + P) / 2 + k</t>
    </r>
    <r>
      <rPr>
        <vertAlign val="subscript"/>
        <sz val="10"/>
        <rFont val="Arial CE"/>
        <charset val="238"/>
      </rPr>
      <t>d1</t>
    </r>
    <r>
      <rPr>
        <sz val="10"/>
        <rFont val="Arial CE"/>
        <charset val="238"/>
      </rPr>
      <t xml:space="preserve"> * (q * Q + P) / 3 + G</t>
    </r>
    <r>
      <rPr>
        <vertAlign val="subscript"/>
        <sz val="10"/>
        <rFont val="Arial CE"/>
        <charset val="238"/>
      </rPr>
      <t xml:space="preserve">h </t>
    </r>
    <r>
      <rPr>
        <sz val="10"/>
        <rFont val="Arial CE"/>
        <charset val="238"/>
      </rPr>
      <t>/ 3 + G</t>
    </r>
    <r>
      <rPr>
        <vertAlign val="subscript"/>
        <sz val="10"/>
        <rFont val="Arial CE"/>
        <charset val="238"/>
      </rPr>
      <t>vf</t>
    </r>
    <r>
      <rPr>
        <sz val="10"/>
        <rFont val="Arial CE"/>
        <charset val="238"/>
      </rPr>
      <t>) =</t>
    </r>
  </si>
  <si>
    <t>kd1</t>
  </si>
  <si>
    <r>
      <t>g</t>
    </r>
    <r>
      <rPr>
        <vertAlign val="subscript"/>
        <sz val="10"/>
        <rFont val="Arial CE"/>
        <charset val="238"/>
      </rPr>
      <t>n</t>
    </r>
    <r>
      <rPr>
        <sz val="10"/>
        <rFont val="Arial CE"/>
        <charset val="238"/>
      </rPr>
      <t xml:space="preserve"> * (k</t>
    </r>
    <r>
      <rPr>
        <vertAlign val="subscript"/>
        <sz val="10"/>
        <rFont val="Arial CE"/>
        <charset val="238"/>
      </rPr>
      <t>d1</t>
    </r>
    <r>
      <rPr>
        <sz val="10"/>
        <rFont val="Arial CE"/>
        <charset val="238"/>
      </rPr>
      <t xml:space="preserve"> * ((k</t>
    </r>
    <r>
      <rPr>
        <vertAlign val="subscript"/>
        <sz val="10"/>
        <rFont val="Arial CE"/>
        <charset val="238"/>
      </rPr>
      <t>b</t>
    </r>
    <r>
      <rPr>
        <sz val="10"/>
        <rFont val="Arial CE"/>
        <charset val="238"/>
      </rPr>
      <t xml:space="preserve"> * Q + P) / 2 + (q * Q + P)) / 3 + G</t>
    </r>
    <r>
      <rPr>
        <vertAlign val="subscript"/>
        <sz val="10"/>
        <rFont val="Arial CE"/>
        <charset val="238"/>
      </rPr>
      <t>h</t>
    </r>
    <r>
      <rPr>
        <sz val="10"/>
        <rFont val="Arial CE"/>
        <charset val="238"/>
      </rPr>
      <t xml:space="preserve"> / 3 + G</t>
    </r>
    <r>
      <rPr>
        <vertAlign val="subscript"/>
        <sz val="10"/>
        <rFont val="Arial CE"/>
        <charset val="238"/>
      </rPr>
      <t>ve</t>
    </r>
    <r>
      <rPr>
        <sz val="10"/>
        <rFont val="Arial CE"/>
        <charset val="238"/>
      </rPr>
      <t>) =</t>
    </r>
  </si>
  <si>
    <r>
      <t>g</t>
    </r>
    <r>
      <rPr>
        <vertAlign val="subscript"/>
        <sz val="10"/>
        <rFont val="Arial CE"/>
        <charset val="238"/>
      </rPr>
      <t>n</t>
    </r>
    <r>
      <rPr>
        <sz val="10"/>
        <rFont val="Arial CE"/>
        <charset val="238"/>
      </rPr>
      <t xml:space="preserve"> * k</t>
    </r>
    <r>
      <rPr>
        <vertAlign val="subscript"/>
        <sz val="10"/>
        <rFont val="Arial CE"/>
        <charset val="238"/>
      </rPr>
      <t>d2</t>
    </r>
    <r>
      <rPr>
        <sz val="10"/>
        <rFont val="Arial CE"/>
        <charset val="238"/>
      </rPr>
      <t xml:space="preserve"> * T</t>
    </r>
    <r>
      <rPr>
        <vertAlign val="subscript"/>
        <sz val="10"/>
        <rFont val="Arial CE"/>
        <charset val="238"/>
      </rPr>
      <t>h</t>
    </r>
    <r>
      <rPr>
        <sz val="10"/>
        <rFont val="Arial CE"/>
        <charset val="238"/>
      </rPr>
      <t xml:space="preserve"> =</t>
    </r>
  </si>
  <si>
    <t>kd2</t>
  </si>
  <si>
    <t>Odonics Boglárka</t>
  </si>
  <si>
    <t>01-15611</t>
  </si>
  <si>
    <t>06-20-578-8708</t>
  </si>
  <si>
    <t>odonicsb@gmail.com</t>
  </si>
  <si>
    <t>Aláírólap</t>
  </si>
  <si>
    <t>ALÁÍRÓLAP</t>
  </si>
  <si>
    <t>2473 Vál, Damjanich u. 103.</t>
  </si>
  <si>
    <t xml:space="preserve">• MSZ EN 81-20:2020 jelű Felvonók szerkezetének és beépítésének biztonsági előírásai. Személyek és terhek szállítására használt felvonók. 20. rész: Személy- és személy-teher felvonók; </t>
  </si>
  <si>
    <t>• MSZ EN 81-50:2020 jelű Felvonók szerkezetének és beépítésének biztonsági előírásai. 50. rész: Felvonó részegységek tervezési előírásai, számításai, felülvizsgálatai és vizsgálatai;</t>
  </si>
  <si>
    <t>• MSZ EN 81-70:2018 jelű Felvonók szerkezetének és beépítésének biztonsági előírásai. Személy- és teherfelvonók speciális alkalmazásai. 70. rész: Fogyatékkal élők által is igénybe vehető felvonók, a 0.4. pont szerinti megállapodásnak megfelelően.</t>
  </si>
  <si>
    <t>• MSZ EN 81-73:2020 jelű Felvonók szerkezetének és beépítésének biztonsági előírásai. 73. rész Felvonók viselkedése tűz esetén;</t>
  </si>
  <si>
    <r>
      <t>g</t>
    </r>
    <r>
      <rPr>
        <vertAlign val="subscript"/>
        <sz val="10"/>
        <rFont val="Arial CE"/>
        <charset val="238"/>
      </rPr>
      <t>n</t>
    </r>
    <r>
      <rPr>
        <sz val="10"/>
        <rFont val="Arial CE"/>
        <charset val="238"/>
      </rPr>
      <t xml:space="preserve"> * k</t>
    </r>
    <r>
      <rPr>
        <vertAlign val="subscript"/>
        <sz val="10"/>
        <rFont val="Arial CE"/>
        <charset val="238"/>
      </rPr>
      <t>d</t>
    </r>
    <r>
      <rPr>
        <sz val="10"/>
        <rFont val="Arial CE"/>
        <charset val="238"/>
      </rPr>
      <t xml:space="preserve"> * (q * Q + P) /2=</t>
    </r>
  </si>
  <si>
    <t xml:space="preserve">A számítás a szabvány 3.11. pontja szerint a névlegesnél kisebb befogadóképességet vesz figyelembe. </t>
  </si>
  <si>
    <t>biztonsági felvonó (menekülési felvonó)</t>
  </si>
  <si>
    <t>1076 Budapest, VII. ker. Verseny utca 22-24.</t>
  </si>
  <si>
    <t>32934</t>
  </si>
  <si>
    <t>Budapest Főváros VII. ker. Erzsébetváros Önkormányzata</t>
  </si>
  <si>
    <t>2021.08.19</t>
  </si>
  <si>
    <t>Társasház   - L2 felvonó</t>
  </si>
  <si>
    <t>E-NP3756-00-000-0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</si>
</sst>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0.00&quot; m/s&quot;"/>
    <numFmt numFmtId="165" formatCode="0.00&quot; m&quot;"/>
    <numFmt numFmtId="166" formatCode="0&quot; /óra&quot;"/>
    <numFmt numFmtId="167" formatCode="0.00&quot; kJ/s&quot;"/>
    <numFmt numFmtId="168" formatCode="0.00&quot; kW&quot;"/>
    <numFmt numFmtId="169" formatCode="0.0&quot; A&quot;"/>
    <numFmt numFmtId="170" formatCode="0.0&quot; A /&quot;"/>
    <numFmt numFmtId="171" formatCode="0.000"/>
    <numFmt numFmtId="172" formatCode="yyyy/mm/dd;@"/>
    <numFmt numFmtId="173" formatCode="0.0"/>
  </numFmts>
  <fonts count="57">
    <font>
      <sz val="10"/>
      <name val="Arial CE"/>
      <charset val="238"/>
    </font>
    <font>
      <b/>
      <sz val="18"/>
      <name val="Times New Roman"/>
      <family val="1"/>
    </font>
    <font>
      <sz val="12"/>
      <name val="Times New Roman"/>
      <family val="1"/>
    </font>
    <font>
      <sz val="10"/>
      <name val="Arial CE"/>
      <family val="2"/>
      <charset val="238"/>
    </font>
    <font>
      <sz val="12"/>
      <name val="Arial CE"/>
      <charset val="238"/>
    </font>
    <font>
      <sz val="10"/>
      <color indexed="10"/>
      <name val="Arial CE"/>
      <family val="2"/>
      <charset val="238"/>
    </font>
    <font>
      <sz val="8.5"/>
      <name val="Arial CE"/>
      <family val="2"/>
      <charset val="238"/>
    </font>
    <font>
      <sz val="9"/>
      <name val="Arial CE"/>
      <family val="2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7"/>
      <name val="Arial Narrow"/>
      <family val="2"/>
      <charset val="238"/>
    </font>
    <font>
      <sz val="8"/>
      <name val="Arial Narrow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u/>
      <sz val="18"/>
      <name val="Arial"/>
      <family val="2"/>
      <charset val="238"/>
    </font>
    <font>
      <sz val="12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0"/>
      <name val="MS Sans Serif"/>
      <charset val="238"/>
    </font>
    <font>
      <b/>
      <sz val="10"/>
      <name val="Arial CE"/>
      <family val="2"/>
      <charset val="238"/>
    </font>
    <font>
      <vertAlign val="subscript"/>
      <sz val="9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vertAlign val="subscript"/>
      <sz val="8"/>
      <name val="Arial CE"/>
      <family val="2"/>
      <charset val="238"/>
    </font>
    <font>
      <sz val="8"/>
      <name val="Clarendon Condensed CE"/>
      <family val="1"/>
      <charset val="238"/>
    </font>
    <font>
      <b/>
      <sz val="8"/>
      <name val="Times New Roman"/>
      <family val="1"/>
    </font>
    <font>
      <b/>
      <sz val="12"/>
      <name val="Times New Roman"/>
      <family val="1"/>
    </font>
    <font>
      <b/>
      <vertAlign val="subscript"/>
      <sz val="12"/>
      <name val="Times New Roman"/>
      <family val="1"/>
    </font>
    <font>
      <b/>
      <vertAlign val="subscript"/>
      <sz val="10"/>
      <name val="Arial CE"/>
      <family val="2"/>
      <charset val="238"/>
    </font>
    <font>
      <sz val="14"/>
      <color indexed="10"/>
      <name val="Arial CE"/>
      <family val="2"/>
      <charset val="238"/>
    </font>
    <font>
      <vertAlign val="subscript"/>
      <sz val="10"/>
      <name val="Arial CE"/>
      <family val="2"/>
      <charset val="238"/>
    </font>
    <font>
      <vertAlign val="subscript"/>
      <sz val="10"/>
      <name val="Arial CE"/>
      <charset val="238"/>
    </font>
    <font>
      <vertAlign val="superscript"/>
      <sz val="10"/>
      <name val="Arial CE"/>
      <family val="2"/>
      <charset val="238"/>
    </font>
    <font>
      <vertAlign val="superscript"/>
      <sz val="10"/>
      <name val="Arial CE"/>
      <charset val="238"/>
    </font>
    <font>
      <sz val="10"/>
      <name val="Symbol"/>
      <family val="1"/>
      <charset val="2"/>
    </font>
    <font>
      <sz val="10"/>
      <name val="MS Sans Serif"/>
      <family val="2"/>
      <charset val="238"/>
    </font>
    <font>
      <b/>
      <u/>
      <sz val="10"/>
      <name val="Arial CE"/>
      <family val="2"/>
      <charset val="238"/>
    </font>
    <font>
      <vertAlign val="subscript"/>
      <sz val="8"/>
      <name val="Arial CE"/>
      <family val="2"/>
      <charset val="238"/>
    </font>
    <font>
      <b/>
      <sz val="12"/>
      <color rgb="FFFF0000"/>
      <name val="Arial CE"/>
      <charset val="238"/>
    </font>
    <font>
      <b/>
      <vertAlign val="subscript"/>
      <sz val="10"/>
      <name val="Arial CE"/>
      <charset val="238"/>
    </font>
    <font>
      <b/>
      <sz val="12"/>
      <name val="Arial CE"/>
      <family val="2"/>
      <charset val="238"/>
    </font>
    <font>
      <sz val="11"/>
      <color rgb="FFFF000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 CE"/>
      <charset val="238"/>
    </font>
    <font>
      <sz val="10"/>
      <color rgb="FFFF0000"/>
      <name val="Arial CE"/>
      <charset val="238"/>
    </font>
    <font>
      <sz val="11"/>
      <color rgb="FFFF0000"/>
      <name val="Arial CE"/>
      <charset val="238"/>
    </font>
    <font>
      <sz val="11"/>
      <name val="Calibri"/>
      <family val="2"/>
      <charset val="238"/>
    </font>
    <font>
      <sz val="8"/>
      <name val="Arial"/>
      <family val="2"/>
      <charset val="238"/>
    </font>
    <font>
      <sz val="8"/>
      <name val="MS Sans Serif"/>
      <family val="2"/>
      <charset val="238"/>
    </font>
    <font>
      <u/>
      <sz val="10"/>
      <color theme="10"/>
      <name val="Arial CE"/>
      <charset val="238"/>
    </font>
    <font>
      <sz val="9"/>
      <name val="Arial CE"/>
      <charset val="238"/>
    </font>
    <font>
      <b/>
      <sz val="11"/>
      <name val="Arial CE"/>
      <charset val="238"/>
    </font>
    <font>
      <b/>
      <sz val="16"/>
      <name val="Arial"/>
      <family val="2"/>
      <charset val="238"/>
    </font>
    <font>
      <b/>
      <sz val="16"/>
      <name val="Arial CE"/>
      <charset val="238"/>
    </font>
    <font>
      <b/>
      <vertAlign val="subscript"/>
      <sz val="11"/>
      <name val="Arial CE"/>
      <charset val="238"/>
    </font>
    <font>
      <b/>
      <vertAlign val="superscript"/>
      <sz val="11"/>
      <name val="Arial CE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26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5">
    <xf numFmtId="0" fontId="0" fillId="0" borderId="0"/>
    <xf numFmtId="0" fontId="19" fillId="0" borderId="0"/>
    <xf numFmtId="0" fontId="36" fillId="0" borderId="0"/>
    <xf numFmtId="9" fontId="36" fillId="0" borderId="0" applyFont="0" applyFill="0" applyBorder="0" applyAlignment="0" applyProtection="0"/>
    <xf numFmtId="0" fontId="50" fillId="0" borderId="0" applyNumberFormat="0" applyFill="0" applyBorder="0" applyAlignment="0" applyProtection="0"/>
  </cellStyleXfs>
  <cellXfs count="418">
    <xf numFmtId="0" fontId="0" fillId="0" borderId="0" xfId="0"/>
    <xf numFmtId="0" fontId="2" fillId="0" borderId="0" xfId="0" applyFont="1"/>
    <xf numFmtId="0" fontId="3" fillId="0" borderId="0" xfId="0" applyNumberFormat="1" applyFont="1" applyProtection="1"/>
    <xf numFmtId="0" fontId="0" fillId="0" borderId="0" xfId="0" applyAlignment="1">
      <alignment horizontal="center"/>
    </xf>
    <xf numFmtId="0" fontId="3" fillId="0" borderId="0" xfId="0" applyNumberFormat="1" applyFont="1" applyAlignment="1" applyProtection="1">
      <alignment horizontal="center"/>
    </xf>
    <xf numFmtId="0" fontId="3" fillId="0" borderId="0" xfId="0" applyNumberFormat="1" applyFont="1" applyFill="1" applyAlignment="1" applyProtection="1">
      <alignment horizontal="center"/>
    </xf>
    <xf numFmtId="0" fontId="3" fillId="0" borderId="0" xfId="0" quotePrefix="1" applyNumberFormat="1" applyFont="1" applyProtection="1"/>
    <xf numFmtId="0" fontId="2" fillId="0" borderId="1" xfId="0" applyFont="1" applyBorder="1"/>
    <xf numFmtId="0" fontId="4" fillId="0" borderId="0" xfId="0" applyFont="1"/>
    <xf numFmtId="0" fontId="4" fillId="0" borderId="1" xfId="0" applyFont="1" applyBorder="1"/>
    <xf numFmtId="0" fontId="4" fillId="0" borderId="0" xfId="0" applyFont="1" applyBorder="1"/>
    <xf numFmtId="0" fontId="7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left" vertical="center"/>
    </xf>
    <xf numFmtId="0" fontId="0" fillId="2" borderId="0" xfId="0" applyFill="1"/>
    <xf numFmtId="0" fontId="7" fillId="3" borderId="0" xfId="0" applyFont="1" applyFill="1" applyAlignment="1">
      <alignment horizontal="right" vertical="center"/>
    </xf>
    <xf numFmtId="0" fontId="0" fillId="3" borderId="0" xfId="0" applyFill="1"/>
    <xf numFmtId="0" fontId="7" fillId="4" borderId="0" xfId="0" applyFont="1" applyFill="1" applyAlignment="1">
      <alignment horizontal="right" vertical="center"/>
    </xf>
    <xf numFmtId="0" fontId="0" fillId="4" borderId="0" xfId="0" applyFill="1"/>
    <xf numFmtId="0" fontId="8" fillId="0" borderId="0" xfId="0" applyFont="1" applyAlignment="1">
      <alignment horizontal="left"/>
    </xf>
    <xf numFmtId="0" fontId="9" fillId="0" borderId="0" xfId="0" applyFont="1" applyAlignment="1"/>
    <xf numFmtId="0" fontId="4" fillId="0" borderId="0" xfId="0" applyNumberFormat="1" applyFont="1" applyAlignment="1">
      <alignment horizontal="left"/>
    </xf>
    <xf numFmtId="0" fontId="11" fillId="0" borderId="0" xfId="0" applyFont="1"/>
    <xf numFmtId="0" fontId="10" fillId="0" borderId="0" xfId="0" applyFont="1" applyAlignment="1"/>
    <xf numFmtId="0" fontId="12" fillId="0" borderId="0" xfId="0" applyFont="1"/>
    <xf numFmtId="0" fontId="13" fillId="0" borderId="0" xfId="0" applyFont="1"/>
    <xf numFmtId="0" fontId="14" fillId="0" borderId="0" xfId="0" applyFont="1"/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/>
    <xf numFmtId="0" fontId="12" fillId="0" borderId="0" xfId="0" applyFont="1" applyAlignment="1">
      <alignment horizontal="right"/>
    </xf>
    <xf numFmtId="0" fontId="16" fillId="0" borderId="0" xfId="0" applyFont="1" applyAlignment="1">
      <alignment horizontal="left"/>
    </xf>
    <xf numFmtId="1" fontId="16" fillId="0" borderId="0" xfId="0" applyNumberFormat="1" applyFont="1" applyAlignment="1">
      <alignment horizontal="left"/>
    </xf>
    <xf numFmtId="170" fontId="16" fillId="0" borderId="0" xfId="0" applyNumberFormat="1" applyFont="1" applyAlignment="1">
      <alignment horizontal="left"/>
    </xf>
    <xf numFmtId="169" fontId="16" fillId="0" borderId="0" xfId="0" applyNumberFormat="1" applyFont="1" applyAlignment="1">
      <alignment horizontal="left"/>
    </xf>
    <xf numFmtId="14" fontId="16" fillId="0" borderId="0" xfId="0" applyNumberFormat="1" applyFont="1"/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2" fillId="0" borderId="2" xfId="0" applyFont="1" applyBorder="1"/>
    <xf numFmtId="0" fontId="13" fillId="0" borderId="3" xfId="0" applyFont="1" applyBorder="1"/>
    <xf numFmtId="0" fontId="16" fillId="0" borderId="3" xfId="0" applyFont="1" applyBorder="1"/>
    <xf numFmtId="0" fontId="16" fillId="0" borderId="4" xfId="0" applyFont="1" applyBorder="1"/>
    <xf numFmtId="0" fontId="16" fillId="0" borderId="0" xfId="0" applyFont="1" applyAlignment="1">
      <alignment horizontal="left" vertical="top"/>
    </xf>
    <xf numFmtId="0" fontId="16" fillId="0" borderId="0" xfId="0" applyFont="1" applyAlignment="1">
      <alignment horizontal="center" vertical="top"/>
    </xf>
    <xf numFmtId="0" fontId="12" fillId="0" borderId="0" xfId="0" applyFont="1" applyAlignment="1">
      <alignment vertical="top"/>
    </xf>
    <xf numFmtId="0" fontId="13" fillId="0" borderId="0" xfId="0" applyFont="1" applyAlignment="1">
      <alignment vertical="top"/>
    </xf>
    <xf numFmtId="0" fontId="16" fillId="0" borderId="0" xfId="0" applyFont="1" applyAlignment="1">
      <alignment vertical="top"/>
    </xf>
    <xf numFmtId="0" fontId="12" fillId="0" borderId="0" xfId="0" applyFont="1" applyAlignment="1">
      <alignment horizontal="right" vertical="top"/>
    </xf>
    <xf numFmtId="164" fontId="16" fillId="0" borderId="0" xfId="0" applyNumberFormat="1" applyFont="1" applyAlignment="1">
      <alignment horizontal="left" vertical="top"/>
    </xf>
    <xf numFmtId="165" fontId="16" fillId="0" borderId="0" xfId="0" applyNumberFormat="1" applyFont="1" applyAlignment="1">
      <alignment horizontal="left" vertical="top"/>
    </xf>
    <xf numFmtId="0" fontId="14" fillId="0" borderId="0" xfId="0" applyFont="1" applyAlignment="1">
      <alignment horizontal="left" vertical="top"/>
    </xf>
    <xf numFmtId="0" fontId="14" fillId="0" borderId="0" xfId="0" applyFont="1" applyAlignment="1">
      <alignment horizontal="center"/>
    </xf>
    <xf numFmtId="0" fontId="14" fillId="0" borderId="0" xfId="0" applyFont="1" applyBorder="1"/>
    <xf numFmtId="0" fontId="3" fillId="0" borderId="0" xfId="1" applyFont="1" applyProtection="1"/>
    <xf numFmtId="0" fontId="3" fillId="0" borderId="0" xfId="1" applyFont="1" applyAlignment="1" applyProtection="1">
      <alignment horizontal="left"/>
    </xf>
    <xf numFmtId="0" fontId="3" fillId="0" borderId="0" xfId="1" applyNumberFormat="1" applyFont="1" applyProtection="1"/>
    <xf numFmtId="0" fontId="3" fillId="0" borderId="0" xfId="1" applyFont="1" applyAlignment="1" applyProtection="1">
      <alignment horizontal="center"/>
    </xf>
    <xf numFmtId="0" fontId="3" fillId="0" borderId="0" xfId="1" applyNumberFormat="1" applyFont="1" applyAlignment="1" applyProtection="1">
      <alignment horizontal="center"/>
    </xf>
    <xf numFmtId="0" fontId="3" fillId="0" borderId="0" xfId="1" applyFont="1" applyBorder="1" applyAlignment="1" applyProtection="1">
      <alignment horizontal="left"/>
    </xf>
    <xf numFmtId="0" fontId="3" fillId="0" borderId="16" xfId="1" applyFont="1" applyBorder="1" applyAlignment="1" applyProtection="1">
      <alignment horizontal="center"/>
    </xf>
    <xf numFmtId="0" fontId="3" fillId="0" borderId="17" xfId="1" applyFont="1" applyBorder="1" applyAlignment="1" applyProtection="1">
      <alignment horizontal="center"/>
    </xf>
    <xf numFmtId="0" fontId="3" fillId="0" borderId="16" xfId="1" applyNumberFormat="1" applyFont="1" applyFill="1" applyBorder="1" applyAlignment="1" applyProtection="1">
      <alignment horizontal="center"/>
    </xf>
    <xf numFmtId="0" fontId="3" fillId="0" borderId="18" xfId="1" applyNumberFormat="1" applyFont="1" applyFill="1" applyBorder="1" applyAlignment="1" applyProtection="1">
      <alignment horizontal="center"/>
    </xf>
    <xf numFmtId="0" fontId="3" fillId="0" borderId="19" xfId="1" applyFont="1" applyBorder="1" applyAlignment="1" applyProtection="1">
      <alignment horizontal="center"/>
    </xf>
    <xf numFmtId="0" fontId="3" fillId="0" borderId="20" xfId="1" applyFont="1" applyBorder="1" applyAlignment="1" applyProtection="1">
      <alignment horizontal="center"/>
    </xf>
    <xf numFmtId="0" fontId="3" fillId="0" borderId="19" xfId="1" applyNumberFormat="1" applyFont="1" applyFill="1" applyBorder="1" applyAlignment="1" applyProtection="1">
      <alignment horizontal="center"/>
    </xf>
    <xf numFmtId="0" fontId="3" fillId="0" borderId="0" xfId="1" applyNumberFormat="1" applyFont="1" applyFill="1" applyBorder="1" applyAlignment="1" applyProtection="1">
      <alignment horizontal="center"/>
    </xf>
    <xf numFmtId="0" fontId="20" fillId="5" borderId="19" xfId="1" applyNumberFormat="1" applyFont="1" applyFill="1" applyBorder="1" applyAlignment="1" applyProtection="1">
      <alignment horizontal="center"/>
    </xf>
    <xf numFmtId="0" fontId="20" fillId="0" borderId="19" xfId="1" applyNumberFormat="1" applyFont="1" applyFill="1" applyBorder="1" applyAlignment="1" applyProtection="1">
      <alignment horizontal="center"/>
    </xf>
    <xf numFmtId="0" fontId="7" fillId="0" borderId="0" xfId="1" applyFont="1" applyBorder="1" applyAlignment="1" applyProtection="1">
      <alignment horizontal="left"/>
    </xf>
    <xf numFmtId="0" fontId="7" fillId="0" borderId="21" xfId="1" applyFont="1" applyBorder="1" applyAlignment="1" applyProtection="1">
      <alignment horizontal="center"/>
    </xf>
    <xf numFmtId="0" fontId="7" fillId="0" borderId="22" xfId="1" applyFont="1" applyBorder="1" applyAlignment="1" applyProtection="1">
      <alignment horizontal="center"/>
    </xf>
    <xf numFmtId="0" fontId="7" fillId="0" borderId="0" xfId="1" applyFont="1" applyProtection="1"/>
    <xf numFmtId="0" fontId="7" fillId="0" borderId="0" xfId="1" applyNumberFormat="1" applyFont="1" applyProtection="1"/>
    <xf numFmtId="0" fontId="7" fillId="0" borderId="21" xfId="1" applyNumberFormat="1" applyFont="1" applyBorder="1" applyAlignment="1" applyProtection="1">
      <alignment horizontal="center"/>
    </xf>
    <xf numFmtId="0" fontId="7" fillId="0" borderId="23" xfId="1" applyNumberFormat="1" applyFont="1" applyBorder="1" applyAlignment="1" applyProtection="1">
      <alignment horizontal="center"/>
    </xf>
    <xf numFmtId="0" fontId="22" fillId="0" borderId="0" xfId="1" applyFont="1" applyAlignment="1" applyProtection="1">
      <alignment horizontal="left"/>
    </xf>
    <xf numFmtId="0" fontId="22" fillId="0" borderId="0" xfId="1" applyFont="1" applyAlignment="1" applyProtection="1">
      <alignment horizontal="right"/>
    </xf>
    <xf numFmtId="0" fontId="3" fillId="0" borderId="0" xfId="1" applyFont="1" applyBorder="1" applyProtection="1"/>
    <xf numFmtId="0" fontId="3" fillId="0" borderId="0" xfId="1" applyNumberFormat="1" applyFont="1" applyBorder="1" applyProtection="1"/>
    <xf numFmtId="0" fontId="22" fillId="0" borderId="0" xfId="1" applyFont="1" applyBorder="1" applyProtection="1"/>
    <xf numFmtId="49" fontId="22" fillId="0" borderId="0" xfId="1" applyNumberFormat="1" applyFont="1" applyBorder="1" applyAlignment="1" applyProtection="1">
      <alignment horizontal="left"/>
    </xf>
    <xf numFmtId="0" fontId="3" fillId="4" borderId="0" xfId="1" applyNumberFormat="1" applyFont="1" applyFill="1" applyProtection="1"/>
    <xf numFmtId="0" fontId="22" fillId="0" borderId="0" xfId="1" applyFont="1" applyBorder="1" applyAlignment="1" applyProtection="1">
      <alignment horizontal="left"/>
    </xf>
    <xf numFmtId="0" fontId="20" fillId="0" borderId="0" xfId="1" applyFont="1" applyProtection="1"/>
    <xf numFmtId="2" fontId="3" fillId="0" borderId="0" xfId="1" applyNumberFormat="1" applyFont="1" applyProtection="1"/>
    <xf numFmtId="0" fontId="3" fillId="0" borderId="0" xfId="1" applyFont="1" applyAlignment="1" applyProtection="1">
      <alignment horizontal="right"/>
    </xf>
    <xf numFmtId="171" fontId="7" fillId="0" borderId="0" xfId="1" applyNumberFormat="1" applyFont="1" applyFill="1" applyAlignment="1" applyProtection="1">
      <alignment horizontal="left"/>
    </xf>
    <xf numFmtId="0" fontId="7" fillId="0" borderId="0" xfId="1" applyFont="1" applyFill="1" applyAlignment="1" applyProtection="1">
      <alignment horizontal="right"/>
    </xf>
    <xf numFmtId="2" fontId="25" fillId="0" borderId="0" xfId="1" applyNumberFormat="1" applyFont="1" applyBorder="1" applyProtection="1"/>
    <xf numFmtId="0" fontId="26" fillId="0" borderId="0" xfId="1" applyFont="1" applyAlignment="1">
      <alignment vertical="top"/>
    </xf>
    <xf numFmtId="0" fontId="27" fillId="0" borderId="0" xfId="1" applyFont="1"/>
    <xf numFmtId="0" fontId="30" fillId="0" borderId="0" xfId="1" applyFont="1" applyProtection="1"/>
    <xf numFmtId="0" fontId="22" fillId="0" borderId="1" xfId="1" applyFont="1" applyBorder="1" applyAlignment="1" applyProtection="1">
      <alignment horizontal="center"/>
    </xf>
    <xf numFmtId="0" fontId="22" fillId="0" borderId="24" xfId="1" applyFont="1" applyBorder="1" applyAlignment="1" applyProtection="1">
      <alignment horizontal="center"/>
    </xf>
    <xf numFmtId="0" fontId="22" fillId="0" borderId="11" xfId="1" applyFont="1" applyBorder="1" applyAlignment="1" applyProtection="1">
      <alignment horizontal="center"/>
    </xf>
    <xf numFmtId="0" fontId="22" fillId="0" borderId="7" xfId="1" applyFont="1" applyBorder="1" applyProtection="1"/>
    <xf numFmtId="0" fontId="22" fillId="0" borderId="6" xfId="1" applyFont="1" applyBorder="1" applyProtection="1"/>
    <xf numFmtId="0" fontId="22" fillId="0" borderId="5" xfId="1" applyFont="1" applyBorder="1" applyProtection="1"/>
    <xf numFmtId="0" fontId="3" fillId="0" borderId="0" xfId="1" applyFont="1" applyAlignment="1" applyProtection="1">
      <alignment horizontal="left" vertical="center"/>
    </xf>
    <xf numFmtId="2" fontId="3" fillId="0" borderId="0" xfId="1" applyNumberFormat="1" applyFont="1" applyAlignment="1" applyProtection="1">
      <alignment vertical="center"/>
    </xf>
    <xf numFmtId="0" fontId="3" fillId="0" borderId="0" xfId="1" applyFont="1" applyAlignment="1" applyProtection="1">
      <alignment horizontal="right" vertical="center"/>
    </xf>
    <xf numFmtId="0" fontId="3" fillId="0" borderId="0" xfId="1" applyFont="1" applyAlignment="1" applyProtection="1">
      <alignment vertical="center"/>
    </xf>
    <xf numFmtId="0" fontId="3" fillId="0" borderId="0" xfId="1" applyNumberFormat="1" applyFont="1" applyAlignment="1" applyProtection="1">
      <alignment vertical="center"/>
    </xf>
    <xf numFmtId="0" fontId="20" fillId="0" borderId="0" xfId="1" applyNumberFormat="1" applyFont="1" applyAlignment="1" applyProtection="1">
      <alignment vertical="center"/>
    </xf>
    <xf numFmtId="0" fontId="19" fillId="0" borderId="0" xfId="1" applyAlignment="1">
      <alignment wrapText="1"/>
    </xf>
    <xf numFmtId="1" fontId="3" fillId="0" borderId="0" xfId="1" applyNumberFormat="1" applyFont="1" applyFill="1" applyAlignment="1" applyProtection="1">
      <alignment vertical="center"/>
      <protection locked="0"/>
    </xf>
    <xf numFmtId="2" fontId="25" fillId="0" borderId="0" xfId="1" quotePrefix="1" applyNumberFormat="1" applyFont="1" applyBorder="1" applyAlignment="1" applyProtection="1">
      <alignment horizontal="right"/>
    </xf>
    <xf numFmtId="2" fontId="3" fillId="0" borderId="0" xfId="1" applyNumberFormat="1" applyFont="1" applyAlignment="1" applyProtection="1">
      <alignment horizontal="right" vertical="center"/>
    </xf>
    <xf numFmtId="2" fontId="3" fillId="0" borderId="0" xfId="1" applyNumberFormat="1" applyFont="1" applyFill="1" applyAlignment="1" applyProtection="1">
      <alignment vertical="center"/>
    </xf>
    <xf numFmtId="0" fontId="3" fillId="0" borderId="0" xfId="1" applyFont="1" applyBorder="1" applyAlignment="1" applyProtection="1">
      <alignment horizontal="right" vertical="center"/>
    </xf>
    <xf numFmtId="0" fontId="7" fillId="0" borderId="0" xfId="1" applyFont="1" applyFill="1" applyAlignment="1" applyProtection="1">
      <alignment horizontal="center"/>
    </xf>
    <xf numFmtId="0" fontId="19" fillId="0" borderId="0" xfId="1" applyAlignment="1"/>
    <xf numFmtId="2" fontId="3" fillId="0" borderId="0" xfId="1" quotePrefix="1" applyNumberFormat="1" applyFont="1" applyAlignment="1" applyProtection="1">
      <alignment vertical="center"/>
    </xf>
    <xf numFmtId="0" fontId="3" fillId="0" borderId="0" xfId="2" applyFont="1" applyAlignment="1" applyProtection="1">
      <alignment horizontal="right"/>
    </xf>
    <xf numFmtId="0" fontId="3" fillId="0" borderId="0" xfId="2" applyFont="1" applyAlignment="1" applyProtection="1">
      <alignment horizontal="right" vertical="center"/>
    </xf>
    <xf numFmtId="0" fontId="3" fillId="0" borderId="0" xfId="2" applyFont="1" applyAlignment="1" applyProtection="1">
      <alignment vertical="center"/>
    </xf>
    <xf numFmtId="0" fontId="3" fillId="0" borderId="0" xfId="2" applyNumberFormat="1" applyFont="1" applyAlignment="1" applyProtection="1">
      <alignment vertical="center"/>
    </xf>
    <xf numFmtId="0" fontId="22" fillId="0" borderId="10" xfId="1" applyFont="1" applyBorder="1" applyAlignment="1" applyProtection="1">
      <alignment horizontal="center"/>
    </xf>
    <xf numFmtId="0" fontId="22" fillId="0" borderId="25" xfId="1" applyFont="1" applyBorder="1" applyAlignment="1" applyProtection="1">
      <alignment horizontal="center"/>
    </xf>
    <xf numFmtId="0" fontId="22" fillId="0" borderId="26" xfId="1" applyFont="1" applyBorder="1" applyProtection="1"/>
    <xf numFmtId="0" fontId="22" fillId="0" borderId="23" xfId="1" applyFont="1" applyBorder="1" applyProtection="1"/>
    <xf numFmtId="0" fontId="22" fillId="0" borderId="27" xfId="1" applyFont="1" applyBorder="1" applyProtection="1"/>
    <xf numFmtId="0" fontId="3" fillId="0" borderId="0" xfId="1" applyFont="1" applyFill="1" applyAlignment="1" applyProtection="1">
      <alignment vertical="center"/>
      <protection locked="0"/>
    </xf>
    <xf numFmtId="0" fontId="22" fillId="0" borderId="28" xfId="1" applyFont="1" applyBorder="1" applyAlignment="1" applyProtection="1">
      <alignment horizontal="center"/>
    </xf>
    <xf numFmtId="0" fontId="22" fillId="0" borderId="29" xfId="1" applyFont="1" applyBorder="1" applyAlignment="1" applyProtection="1">
      <alignment horizontal="center"/>
    </xf>
    <xf numFmtId="0" fontId="22" fillId="0" borderId="30" xfId="1" applyFont="1" applyBorder="1" applyAlignment="1" applyProtection="1">
      <alignment horizontal="center"/>
    </xf>
    <xf numFmtId="0" fontId="22" fillId="0" borderId="31" xfId="1" applyFont="1" applyBorder="1" applyProtection="1"/>
    <xf numFmtId="0" fontId="22" fillId="0" borderId="32" xfId="1" applyFont="1" applyBorder="1" applyProtection="1"/>
    <xf numFmtId="0" fontId="22" fillId="0" borderId="30" xfId="1" applyFont="1" applyBorder="1" applyProtection="1"/>
    <xf numFmtId="0" fontId="22" fillId="0" borderId="5" xfId="1" applyFont="1" applyBorder="1" applyAlignment="1" applyProtection="1">
      <alignment horizontal="center"/>
    </xf>
    <xf numFmtId="1" fontId="3" fillId="0" borderId="0" xfId="1" applyNumberFormat="1" applyFont="1" applyAlignment="1" applyProtection="1">
      <alignment vertical="center"/>
    </xf>
    <xf numFmtId="0" fontId="22" fillId="0" borderId="13" xfId="1" applyFont="1" applyBorder="1" applyProtection="1"/>
    <xf numFmtId="0" fontId="22" fillId="0" borderId="12" xfId="1" applyFont="1" applyBorder="1" applyProtection="1"/>
    <xf numFmtId="0" fontId="22" fillId="0" borderId="11" xfId="1" applyFont="1" applyBorder="1" applyProtection="1"/>
    <xf numFmtId="0" fontId="3" fillId="0" borderId="0" xfId="1" applyFont="1" applyAlignment="1" applyProtection="1">
      <alignment horizontal="center" vertical="center"/>
    </xf>
    <xf numFmtId="0" fontId="37" fillId="0" borderId="0" xfId="1" applyFont="1" applyAlignment="1" applyProtection="1">
      <alignment vertical="center"/>
    </xf>
    <xf numFmtId="0" fontId="22" fillId="0" borderId="33" xfId="1" applyFont="1" applyBorder="1" applyAlignment="1" applyProtection="1">
      <alignment horizontal="center"/>
    </xf>
    <xf numFmtId="0" fontId="22" fillId="0" borderId="34" xfId="1" applyFont="1" applyBorder="1" applyAlignment="1" applyProtection="1">
      <alignment horizontal="center"/>
    </xf>
    <xf numFmtId="0" fontId="22" fillId="0" borderId="35" xfId="1" applyFont="1" applyBorder="1" applyAlignment="1" applyProtection="1">
      <alignment horizontal="center"/>
    </xf>
    <xf numFmtId="0" fontId="3" fillId="0" borderId="0" xfId="1" applyFont="1" applyFill="1" applyAlignment="1" applyProtection="1">
      <alignment horizontal="left" vertical="center"/>
    </xf>
    <xf numFmtId="1" fontId="3" fillId="7" borderId="0" xfId="1" applyNumberFormat="1" applyFont="1" applyFill="1" applyAlignment="1" applyProtection="1">
      <alignment horizontal="left" vertical="center"/>
      <protection locked="0"/>
    </xf>
    <xf numFmtId="0" fontId="3" fillId="0" borderId="0" xfId="1" applyFont="1" applyFill="1" applyAlignment="1" applyProtection="1">
      <alignment horizontal="right" vertical="center"/>
    </xf>
    <xf numFmtId="1" fontId="3" fillId="8" borderId="0" xfId="1" applyNumberFormat="1" applyFont="1" applyFill="1" applyAlignment="1" applyProtection="1">
      <alignment horizontal="left" vertical="center"/>
      <protection locked="0"/>
    </xf>
    <xf numFmtId="2" fontId="25" fillId="0" borderId="0" xfId="1" applyNumberFormat="1" applyFont="1" applyBorder="1" applyAlignment="1" applyProtection="1">
      <alignment horizontal="right"/>
    </xf>
    <xf numFmtId="0" fontId="22" fillId="0" borderId="7" xfId="1" applyNumberFormat="1" applyFont="1" applyBorder="1" applyProtection="1"/>
    <xf numFmtId="0" fontId="22" fillId="0" borderId="6" xfId="1" applyNumberFormat="1" applyFont="1" applyBorder="1" applyProtection="1"/>
    <xf numFmtId="0" fontId="22" fillId="0" borderId="1" xfId="1" applyFont="1" applyBorder="1" applyProtection="1"/>
    <xf numFmtId="0" fontId="3" fillId="0" borderId="0" xfId="1" applyFont="1" applyFill="1" applyAlignment="1" applyProtection="1">
      <alignment vertical="center"/>
    </xf>
    <xf numFmtId="0" fontId="17" fillId="0" borderId="0" xfId="1" applyFont="1" applyAlignment="1" applyProtection="1">
      <alignment vertical="center"/>
    </xf>
    <xf numFmtId="2" fontId="3" fillId="8" borderId="0" xfId="1" applyNumberFormat="1" applyFont="1" applyFill="1" applyAlignment="1" applyProtection="1">
      <alignment vertical="center"/>
      <protection locked="0"/>
    </xf>
    <xf numFmtId="1" fontId="3" fillId="0" borderId="0" xfId="1" applyNumberFormat="1" applyFont="1" applyProtection="1"/>
    <xf numFmtId="0" fontId="22" fillId="0" borderId="13" xfId="1" applyNumberFormat="1" applyFont="1" applyBorder="1" applyProtection="1"/>
    <xf numFmtId="0" fontId="22" fillId="0" borderId="12" xfId="1" applyNumberFormat="1" applyFont="1" applyBorder="1" applyProtection="1"/>
    <xf numFmtId="0" fontId="22" fillId="0" borderId="10" xfId="1" applyFont="1" applyBorder="1" applyProtection="1"/>
    <xf numFmtId="2" fontId="25" fillId="0" borderId="13" xfId="1" applyNumberFormat="1" applyFont="1" applyBorder="1" applyProtection="1"/>
    <xf numFmtId="2" fontId="25" fillId="0" borderId="12" xfId="1" applyNumberFormat="1" applyFont="1" applyBorder="1" applyProtection="1"/>
    <xf numFmtId="2" fontId="25" fillId="0" borderId="11" xfId="1" applyNumberFormat="1" applyFont="1" applyBorder="1" applyProtection="1"/>
    <xf numFmtId="2" fontId="25" fillId="0" borderId="15" xfId="1" applyNumberFormat="1" applyFont="1" applyBorder="1" applyProtection="1"/>
    <xf numFmtId="0" fontId="39" fillId="0" borderId="0" xfId="1" applyFont="1" applyProtection="1"/>
    <xf numFmtId="0" fontId="5" fillId="0" borderId="0" xfId="1" applyNumberFormat="1" applyFont="1" applyAlignment="1" applyProtection="1">
      <alignment vertical="center"/>
    </xf>
    <xf numFmtId="2" fontId="3" fillId="7" borderId="0" xfId="1" applyNumberFormat="1" applyFont="1" applyFill="1" applyAlignment="1" applyProtection="1">
      <alignment vertical="center"/>
      <protection locked="0"/>
    </xf>
    <xf numFmtId="9" fontId="3" fillId="0" borderId="0" xfId="3" applyFont="1" applyAlignment="1" applyProtection="1">
      <alignment vertical="center"/>
    </xf>
    <xf numFmtId="2" fontId="3" fillId="0" borderId="0" xfId="1" applyNumberFormat="1" applyFont="1" applyFill="1" applyAlignment="1" applyProtection="1">
      <alignment vertical="center"/>
      <protection locked="0"/>
    </xf>
    <xf numFmtId="0" fontId="5" fillId="0" borderId="0" xfId="1" applyNumberFormat="1" applyFont="1" applyAlignment="1" applyProtection="1">
      <alignment horizontal="right" vertical="center"/>
    </xf>
    <xf numFmtId="0" fontId="3" fillId="7" borderId="0" xfId="1" applyFont="1" applyFill="1" applyBorder="1" applyAlignment="1" applyProtection="1">
      <alignment horizontal="right" vertical="center"/>
      <protection locked="0"/>
    </xf>
    <xf numFmtId="0" fontId="3" fillId="7" borderId="0" xfId="1" applyFont="1" applyFill="1" applyAlignment="1" applyProtection="1">
      <alignment vertical="center"/>
      <protection locked="0"/>
    </xf>
    <xf numFmtId="0" fontId="17" fillId="0" borderId="0" xfId="1" applyNumberFormat="1" applyFont="1" applyAlignment="1" applyProtection="1">
      <alignment vertical="center"/>
    </xf>
    <xf numFmtId="0" fontId="3" fillId="0" borderId="0" xfId="1" applyFont="1" applyFill="1" applyAlignment="1" applyProtection="1">
      <alignment horizontal="right" vertical="center"/>
      <protection locked="0"/>
    </xf>
    <xf numFmtId="0" fontId="3" fillId="0" borderId="13" xfId="1" applyFont="1" applyBorder="1" applyAlignment="1" applyProtection="1">
      <alignment horizontal="left" vertical="center"/>
    </xf>
    <xf numFmtId="0" fontId="20" fillId="0" borderId="12" xfId="1" applyFont="1" applyBorder="1" applyAlignment="1" applyProtection="1">
      <alignment vertical="center"/>
    </xf>
    <xf numFmtId="0" fontId="20" fillId="7" borderId="12" xfId="1" applyNumberFormat="1" applyFont="1" applyFill="1" applyBorder="1" applyAlignment="1" applyProtection="1">
      <alignment horizontal="center" vertical="center"/>
    </xf>
    <xf numFmtId="0" fontId="20" fillId="0" borderId="12" xfId="1" applyNumberFormat="1" applyFont="1" applyBorder="1" applyAlignment="1" applyProtection="1">
      <alignment horizontal="left" vertical="center"/>
    </xf>
    <xf numFmtId="0" fontId="20" fillId="0" borderId="12" xfId="1" applyNumberFormat="1" applyFont="1" applyBorder="1" applyAlignment="1" applyProtection="1">
      <alignment horizontal="center" vertical="center"/>
    </xf>
    <xf numFmtId="1" fontId="20" fillId="7" borderId="12" xfId="1" applyNumberFormat="1" applyFont="1" applyFill="1" applyBorder="1" applyAlignment="1" applyProtection="1">
      <alignment horizontal="center" vertical="center"/>
    </xf>
    <xf numFmtId="0" fontId="20" fillId="0" borderId="12" xfId="1" applyNumberFormat="1" applyFont="1" applyFill="1" applyBorder="1" applyAlignment="1" applyProtection="1">
      <alignment horizontal="center" vertical="center"/>
      <protection locked="0"/>
    </xf>
    <xf numFmtId="0" fontId="3" fillId="0" borderId="12" xfId="1" applyNumberFormat="1" applyFont="1" applyBorder="1" applyAlignment="1" applyProtection="1">
      <alignment vertical="center"/>
    </xf>
    <xf numFmtId="0" fontId="20" fillId="0" borderId="11" xfId="1" applyNumberFormat="1" applyFont="1" applyBorder="1" applyAlignment="1" applyProtection="1">
      <alignment vertical="center"/>
    </xf>
    <xf numFmtId="0" fontId="3" fillId="0" borderId="15" xfId="1" applyFont="1" applyBorder="1" applyAlignment="1" applyProtection="1">
      <alignment horizontal="left" vertical="center"/>
    </xf>
    <xf numFmtId="0" fontId="20" fillId="0" borderId="0" xfId="1" applyNumberFormat="1" applyFont="1" applyBorder="1" applyAlignment="1" applyProtection="1">
      <alignment vertical="center"/>
    </xf>
    <xf numFmtId="0" fontId="18" fillId="0" borderId="0" xfId="1" applyFont="1" applyBorder="1" applyAlignment="1" applyProtection="1">
      <alignment horizontal="left" vertical="center"/>
    </xf>
    <xf numFmtId="2" fontId="18" fillId="0" borderId="0" xfId="1" applyNumberFormat="1" applyFont="1" applyBorder="1" applyAlignment="1" applyProtection="1">
      <alignment vertical="center"/>
    </xf>
    <xf numFmtId="0" fontId="18" fillId="0" borderId="0" xfId="1" applyFont="1" applyBorder="1" applyAlignment="1" applyProtection="1">
      <alignment horizontal="right" vertical="center"/>
    </xf>
    <xf numFmtId="0" fontId="22" fillId="0" borderId="0" xfId="1" applyFont="1" applyBorder="1" applyAlignment="1" applyProtection="1">
      <alignment horizontal="left" vertical="center"/>
    </xf>
    <xf numFmtId="0" fontId="22" fillId="0" borderId="0" xfId="1" applyFont="1" applyBorder="1" applyAlignment="1" applyProtection="1">
      <alignment horizontal="right" vertical="center"/>
    </xf>
    <xf numFmtId="0" fontId="3" fillId="0" borderId="0" xfId="1" applyNumberFormat="1" applyFont="1" applyBorder="1" applyAlignment="1" applyProtection="1">
      <alignment vertical="center"/>
    </xf>
    <xf numFmtId="0" fontId="3" fillId="0" borderId="14" xfId="1" applyFont="1" applyBorder="1" applyAlignment="1" applyProtection="1">
      <alignment vertical="center"/>
    </xf>
    <xf numFmtId="0" fontId="3" fillId="0" borderId="3" xfId="1" applyFont="1" applyBorder="1" applyAlignment="1" applyProtection="1">
      <alignment horizontal="center" vertical="center" wrapText="1"/>
    </xf>
    <xf numFmtId="0" fontId="36" fillId="0" borderId="3" xfId="1" applyFont="1" applyBorder="1" applyAlignment="1">
      <alignment vertical="center"/>
    </xf>
    <xf numFmtId="0" fontId="3" fillId="0" borderId="3" xfId="1" applyNumberFormat="1" applyFont="1" applyBorder="1" applyAlignment="1" applyProtection="1">
      <alignment vertical="center"/>
    </xf>
    <xf numFmtId="0" fontId="37" fillId="0" borderId="2" xfId="1" applyFont="1" applyBorder="1" applyAlignment="1" applyProtection="1">
      <alignment vertical="center"/>
    </xf>
    <xf numFmtId="0" fontId="3" fillId="0" borderId="0" xfId="1" applyFont="1" applyAlignment="1" applyProtection="1">
      <alignment horizontal="center" vertical="center" wrapText="1"/>
    </xf>
    <xf numFmtId="0" fontId="36" fillId="0" borderId="0" xfId="1" applyFont="1" applyAlignment="1">
      <alignment vertical="center"/>
    </xf>
    <xf numFmtId="0" fontId="17" fillId="0" borderId="0" xfId="1" applyFont="1" applyAlignment="1">
      <alignment vertical="center"/>
    </xf>
    <xf numFmtId="49" fontId="3" fillId="0" borderId="0" xfId="1" applyNumberFormat="1" applyFont="1" applyFill="1" applyAlignment="1" applyProtection="1">
      <alignment horizontal="center" vertical="center"/>
      <protection locked="0"/>
    </xf>
    <xf numFmtId="0" fontId="3" fillId="0" borderId="1" xfId="1" applyFont="1" applyBorder="1" applyProtection="1"/>
    <xf numFmtId="2" fontId="25" fillId="0" borderId="1" xfId="1" applyNumberFormat="1" applyFont="1" applyBorder="1" applyProtection="1"/>
    <xf numFmtId="0" fontId="3" fillId="0" borderId="7" xfId="1" applyFont="1" applyBorder="1" applyProtection="1"/>
    <xf numFmtId="0" fontId="41" fillId="0" borderId="0" xfId="1" applyNumberFormat="1" applyFont="1" applyFill="1" applyAlignment="1" applyProtection="1">
      <alignment vertical="center"/>
    </xf>
    <xf numFmtId="0" fontId="3" fillId="6" borderId="0" xfId="1" applyNumberFormat="1" applyFont="1" applyFill="1" applyAlignment="1" applyProtection="1">
      <alignment vertical="center"/>
    </xf>
    <xf numFmtId="0" fontId="41" fillId="6" borderId="0" xfId="1" applyNumberFormat="1" applyFont="1" applyFill="1" applyAlignment="1" applyProtection="1">
      <alignment vertical="center"/>
    </xf>
    <xf numFmtId="0" fontId="3" fillId="0" borderId="0" xfId="1" applyNumberFormat="1" applyFont="1" applyAlignment="1" applyProtection="1">
      <alignment horizontal="right" vertical="center"/>
    </xf>
    <xf numFmtId="0" fontId="3" fillId="0" borderId="0" xfId="1" applyNumberFormat="1" applyFont="1" applyFill="1" applyAlignment="1" applyProtection="1">
      <alignment vertical="center"/>
    </xf>
    <xf numFmtId="2" fontId="20" fillId="0" borderId="12" xfId="1" applyNumberFormat="1" applyFont="1" applyFill="1" applyBorder="1" applyAlignment="1" applyProtection="1">
      <alignment vertical="center"/>
    </xf>
    <xf numFmtId="22" fontId="3" fillId="0" borderId="0" xfId="1" applyNumberFormat="1" applyFont="1" applyFill="1" applyAlignment="1" applyProtection="1">
      <alignment horizontal="right" vertical="center"/>
    </xf>
    <xf numFmtId="0" fontId="15" fillId="0" borderId="0" xfId="0" applyFont="1" applyAlignment="1">
      <alignment horizontal="center"/>
    </xf>
    <xf numFmtId="0" fontId="12" fillId="0" borderId="0" xfId="0" applyFont="1" applyAlignment="1">
      <alignment vertical="top" wrapText="1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vertical="top" wrapText="1"/>
    </xf>
    <xf numFmtId="0" fontId="15" fillId="0" borderId="0" xfId="0" applyFont="1" applyAlignment="1"/>
    <xf numFmtId="0" fontId="18" fillId="0" borderId="0" xfId="1" applyFont="1" applyBorder="1" applyProtection="1"/>
    <xf numFmtId="0" fontId="42" fillId="0" borderId="0" xfId="0" applyFont="1" applyAlignment="1">
      <alignment vertical="top"/>
    </xf>
    <xf numFmtId="0" fontId="14" fillId="0" borderId="0" xfId="0" applyFont="1" applyAlignment="1">
      <alignment vertical="top" wrapText="1"/>
    </xf>
    <xf numFmtId="0" fontId="14" fillId="0" borderId="0" xfId="0" applyFont="1" applyAlignment="1">
      <alignment horizontal="left" vertical="top" wrapText="1"/>
    </xf>
    <xf numFmtId="0" fontId="44" fillId="0" borderId="0" xfId="0" applyFont="1"/>
    <xf numFmtId="0" fontId="45" fillId="0" borderId="0" xfId="0" applyFont="1" applyBorder="1"/>
    <xf numFmtId="0" fontId="0" fillId="0" borderId="0" xfId="0" applyFill="1"/>
    <xf numFmtId="0" fontId="44" fillId="0" borderId="0" xfId="0" applyFont="1" applyFill="1"/>
    <xf numFmtId="0" fontId="42" fillId="0" borderId="0" xfId="0" applyFont="1"/>
    <xf numFmtId="0" fontId="46" fillId="0" borderId="0" xfId="0" applyFont="1"/>
    <xf numFmtId="0" fontId="0" fillId="0" borderId="14" xfId="0" applyBorder="1"/>
    <xf numFmtId="0" fontId="0" fillId="0" borderId="0" xfId="0" applyBorder="1"/>
    <xf numFmtId="0" fontId="47" fillId="0" borderId="0" xfId="0" applyFont="1" applyBorder="1" applyAlignment="1">
      <alignment horizontal="left"/>
    </xf>
    <xf numFmtId="0" fontId="0" fillId="0" borderId="15" xfId="0" applyBorder="1"/>
    <xf numFmtId="0" fontId="47" fillId="0" borderId="0" xfId="0" applyFont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16" fillId="0" borderId="0" xfId="0" applyFont="1" applyAlignment="1">
      <alignment horizontal="right"/>
    </xf>
    <xf numFmtId="0" fontId="18" fillId="0" borderId="4" xfId="1" applyFont="1" applyBorder="1" applyAlignment="1" applyProtection="1">
      <alignment horizontal="right" vertical="center"/>
    </xf>
    <xf numFmtId="2" fontId="3" fillId="0" borderId="0" xfId="2" applyNumberFormat="1" applyFont="1" applyFill="1" applyAlignment="1" applyProtection="1">
      <alignment horizontal="right" vertical="center"/>
      <protection locked="0"/>
    </xf>
    <xf numFmtId="0" fontId="22" fillId="0" borderId="0" xfId="1" applyNumberFormat="1" applyFont="1" applyFill="1" applyAlignment="1" applyProtection="1">
      <alignment vertical="center"/>
      <protection locked="0"/>
    </xf>
    <xf numFmtId="0" fontId="49" fillId="0" borderId="0" xfId="1" applyFont="1" applyFill="1" applyAlignment="1">
      <alignment vertical="center"/>
    </xf>
    <xf numFmtId="0" fontId="22" fillId="0" borderId="0" xfId="1" applyFont="1" applyFill="1" applyAlignment="1" applyProtection="1">
      <alignment vertical="center"/>
    </xf>
    <xf numFmtId="0" fontId="22" fillId="0" borderId="0" xfId="1" applyFont="1" applyFill="1" applyAlignment="1" applyProtection="1">
      <alignment horizontal="left" vertical="center"/>
    </xf>
    <xf numFmtId="0" fontId="16" fillId="0" borderId="0" xfId="0" applyFont="1" applyAlignment="1">
      <alignment horizontal="center"/>
    </xf>
    <xf numFmtId="0" fontId="9" fillId="0" borderId="0" xfId="0" applyFont="1" applyAlignment="1">
      <alignment horizontal="right"/>
    </xf>
    <xf numFmtId="0" fontId="50" fillId="0" borderId="15" xfId="4" applyBorder="1"/>
    <xf numFmtId="0" fontId="47" fillId="0" borderId="12" xfId="0" applyFont="1" applyBorder="1" applyAlignment="1">
      <alignment horizontal="left"/>
    </xf>
    <xf numFmtId="0" fontId="50" fillId="0" borderId="13" xfId="4" applyBorder="1"/>
    <xf numFmtId="0" fontId="18" fillId="0" borderId="0" xfId="0" applyFont="1"/>
    <xf numFmtId="0" fontId="18" fillId="0" borderId="0" xfId="0" applyFont="1" applyAlignment="1">
      <alignment horizontal="right"/>
    </xf>
    <xf numFmtId="0" fontId="53" fillId="0" borderId="0" xfId="0" applyFont="1" applyAlignment="1">
      <alignment horizontal="center" vertical="center"/>
    </xf>
    <xf numFmtId="0" fontId="54" fillId="0" borderId="0" xfId="0" applyFont="1" applyAlignment="1">
      <alignment vertical="center" wrapText="1"/>
    </xf>
    <xf numFmtId="49" fontId="52" fillId="0" borderId="0" xfId="0" applyNumberFormat="1" applyFont="1"/>
    <xf numFmtId="0" fontId="52" fillId="0" borderId="0" xfId="0" applyFont="1" applyAlignment="1">
      <alignment horizontal="right"/>
    </xf>
    <xf numFmtId="0" fontId="0" fillId="0" borderId="0" xfId="0" applyFont="1"/>
    <xf numFmtId="0" fontId="52" fillId="0" borderId="0" xfId="0" applyFont="1"/>
    <xf numFmtId="2" fontId="52" fillId="0" borderId="0" xfId="0" applyNumberFormat="1" applyFont="1"/>
    <xf numFmtId="1" fontId="52" fillId="0" borderId="0" xfId="0" applyNumberFormat="1" applyFont="1"/>
    <xf numFmtId="173" fontId="52" fillId="0" borderId="0" xfId="0" applyNumberFormat="1" applyFont="1"/>
    <xf numFmtId="0" fontId="52" fillId="0" borderId="0" xfId="0" applyFont="1" applyFill="1"/>
    <xf numFmtId="0" fontId="0" fillId="0" borderId="0" xfId="0" applyFill="1" applyBorder="1"/>
    <xf numFmtId="0" fontId="50" fillId="0" borderId="0" xfId="4" applyFill="1" applyBorder="1"/>
    <xf numFmtId="0" fontId="0" fillId="0" borderId="16" xfId="0" applyFont="1" applyBorder="1" applyAlignment="1">
      <alignment horizontal="left" vertical="center" wrapText="1"/>
    </xf>
    <xf numFmtId="0" fontId="0" fillId="0" borderId="17" xfId="0" applyFont="1" applyBorder="1" applyAlignment="1">
      <alignment horizontal="right" vertical="center" wrapText="1"/>
    </xf>
    <xf numFmtId="0" fontId="0" fillId="4" borderId="1" xfId="0" applyFill="1" applyBorder="1"/>
    <xf numFmtId="0" fontId="6" fillId="0" borderId="1" xfId="0" applyFont="1" applyFill="1" applyBorder="1"/>
    <xf numFmtId="0" fontId="0" fillId="0" borderId="14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2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0" fontId="2" fillId="0" borderId="4" xfId="0" applyFont="1" applyBorder="1" applyAlignment="1">
      <alignment horizontal="left" vertical="top"/>
    </xf>
    <xf numFmtId="0" fontId="2" fillId="0" borderId="14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top"/>
    </xf>
    <xf numFmtId="0" fontId="2" fillId="0" borderId="15" xfId="0" applyFont="1" applyBorder="1" applyAlignment="1">
      <alignment horizontal="left" vertical="top"/>
    </xf>
    <xf numFmtId="0" fontId="2" fillId="0" borderId="11" xfId="0" applyFont="1" applyBorder="1" applyAlignment="1">
      <alignment horizontal="left" vertical="top"/>
    </xf>
    <xf numFmtId="0" fontId="2" fillId="0" borderId="12" xfId="0" applyFont="1" applyBorder="1" applyAlignment="1">
      <alignment horizontal="left" vertical="top"/>
    </xf>
    <xf numFmtId="0" fontId="2" fillId="0" borderId="13" xfId="0" applyFont="1" applyBorder="1" applyAlignment="1">
      <alignment horizontal="left" vertical="top"/>
    </xf>
    <xf numFmtId="0" fontId="5" fillId="0" borderId="8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vertical="center" wrapText="1"/>
    </xf>
    <xf numFmtId="0" fontId="5" fillId="0" borderId="10" xfId="0" applyFont="1" applyFill="1" applyBorder="1" applyAlignment="1">
      <alignment vertical="center" wrapText="1"/>
    </xf>
    <xf numFmtId="166" fontId="0" fillId="5" borderId="1" xfId="0" applyNumberFormat="1" applyFill="1" applyBorder="1" applyAlignment="1">
      <alignment horizontal="left"/>
    </xf>
    <xf numFmtId="167" fontId="0" fillId="5" borderId="1" xfId="0" applyNumberFormat="1" applyFill="1" applyBorder="1" applyAlignment="1">
      <alignment horizontal="left"/>
    </xf>
    <xf numFmtId="0" fontId="2" fillId="0" borderId="2" xfId="0" applyFont="1" applyBorder="1" applyAlignment="1">
      <alignment vertical="top"/>
    </xf>
    <xf numFmtId="0" fontId="2" fillId="0" borderId="3" xfId="0" applyFont="1" applyBorder="1" applyAlignment="1">
      <alignment vertical="top"/>
    </xf>
    <xf numFmtId="0" fontId="2" fillId="0" borderId="4" xfId="0" applyFont="1" applyBorder="1" applyAlignment="1">
      <alignment vertical="top"/>
    </xf>
    <xf numFmtId="0" fontId="2" fillId="0" borderId="11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0" fontId="2" fillId="0" borderId="13" xfId="0" applyFont="1" applyBorder="1" applyAlignment="1">
      <alignment vertical="top"/>
    </xf>
    <xf numFmtId="0" fontId="2" fillId="0" borderId="5" xfId="0" applyFont="1" applyFill="1" applyBorder="1"/>
    <xf numFmtId="0" fontId="2" fillId="0" borderId="7" xfId="0" applyFont="1" applyFill="1" applyBorder="1"/>
    <xf numFmtId="169" fontId="0" fillId="5" borderId="1" xfId="0" applyNumberFormat="1" applyFill="1" applyBorder="1" applyAlignment="1">
      <alignment horizontal="left"/>
    </xf>
    <xf numFmtId="0" fontId="0" fillId="0" borderId="1" xfId="0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2" xfId="0" applyFont="1" applyFill="1" applyBorder="1" applyAlignment="1">
      <alignment vertical="top"/>
    </xf>
    <xf numFmtId="0" fontId="2" fillId="0" borderId="4" xfId="0" applyFont="1" applyFill="1" applyBorder="1" applyAlignment="1">
      <alignment vertical="top"/>
    </xf>
    <xf numFmtId="0" fontId="2" fillId="0" borderId="11" xfId="0" applyFont="1" applyFill="1" applyBorder="1" applyAlignment="1">
      <alignment vertical="top"/>
    </xf>
    <xf numFmtId="0" fontId="2" fillId="0" borderId="13" xfId="0" applyFont="1" applyFill="1" applyBorder="1" applyAlignment="1">
      <alignment vertical="top"/>
    </xf>
    <xf numFmtId="0" fontId="2" fillId="0" borderId="6" xfId="0" applyFont="1" applyFill="1" applyBorder="1"/>
    <xf numFmtId="0" fontId="2" fillId="0" borderId="14" xfId="0" applyFont="1" applyBorder="1" applyAlignment="1">
      <alignment vertical="top"/>
    </xf>
    <xf numFmtId="0" fontId="2" fillId="0" borderId="15" xfId="0" applyFont="1" applyBorder="1" applyAlignment="1">
      <alignment vertical="top"/>
    </xf>
    <xf numFmtId="168" fontId="0" fillId="5" borderId="1" xfId="0" applyNumberFormat="1" applyFill="1" applyBorder="1" applyAlignment="1">
      <alignment horizontal="left"/>
    </xf>
    <xf numFmtId="165" fontId="0" fillId="5" borderId="5" xfId="0" applyNumberFormat="1" applyFill="1" applyBorder="1" applyAlignment="1">
      <alignment horizontal="left"/>
    </xf>
    <xf numFmtId="165" fontId="0" fillId="5" borderId="6" xfId="0" applyNumberFormat="1" applyFill="1" applyBorder="1" applyAlignment="1">
      <alignment horizontal="left"/>
    </xf>
    <xf numFmtId="165" fontId="0" fillId="5" borderId="7" xfId="0" applyNumberFormat="1" applyFill="1" applyBorder="1" applyAlignment="1">
      <alignment horizontal="left"/>
    </xf>
    <xf numFmtId="1" fontId="0" fillId="5" borderId="1" xfId="0" applyNumberFormat="1" applyFill="1" applyBorder="1" applyAlignment="1">
      <alignment horizontal="left"/>
    </xf>
    <xf numFmtId="0" fontId="0" fillId="5" borderId="1" xfId="0" applyFill="1" applyBorder="1" applyAlignment="1">
      <alignment wrapText="1"/>
    </xf>
    <xf numFmtId="0" fontId="0" fillId="5" borderId="1" xfId="0" applyFill="1" applyBorder="1"/>
    <xf numFmtId="49" fontId="0" fillId="5" borderId="5" xfId="0" applyNumberFormat="1" applyFill="1" applyBorder="1" applyAlignment="1">
      <alignment horizontal="left"/>
    </xf>
    <xf numFmtId="49" fontId="0" fillId="5" borderId="6" xfId="0" applyNumberFormat="1" applyFill="1" applyBorder="1" applyAlignment="1">
      <alignment horizontal="left"/>
    </xf>
    <xf numFmtId="49" fontId="0" fillId="5" borderId="7" xfId="0" applyNumberFormat="1" applyFill="1" applyBorder="1" applyAlignment="1">
      <alignment horizontal="left"/>
    </xf>
    <xf numFmtId="0" fontId="0" fillId="6" borderId="1" xfId="0" applyFill="1" applyBorder="1"/>
    <xf numFmtId="0" fontId="0" fillId="6" borderId="5" xfId="0" applyFill="1" applyBorder="1"/>
    <xf numFmtId="0" fontId="0" fillId="6" borderId="6" xfId="0" applyFill="1" applyBorder="1"/>
    <xf numFmtId="0" fontId="0" fillId="6" borderId="7" xfId="0" applyFill="1" applyBorder="1"/>
    <xf numFmtId="0" fontId="0" fillId="4" borderId="5" xfId="0" applyFill="1" applyBorder="1"/>
    <xf numFmtId="0" fontId="0" fillId="4" borderId="6" xfId="0" applyFill="1" applyBorder="1"/>
    <xf numFmtId="0" fontId="0" fillId="4" borderId="7" xfId="0" applyFill="1" applyBorder="1"/>
    <xf numFmtId="164" fontId="0" fillId="5" borderId="1" xfId="0" applyNumberFormat="1" applyFill="1" applyBorder="1" applyAlignment="1">
      <alignment horizontal="left"/>
    </xf>
    <xf numFmtId="49" fontId="0" fillId="5" borderId="1" xfId="0" quotePrefix="1" applyNumberFormat="1" applyFill="1" applyBorder="1" applyAlignment="1">
      <alignment horizontal="left"/>
    </xf>
    <xf numFmtId="49" fontId="0" fillId="5" borderId="1" xfId="0" applyNumberFormat="1" applyFill="1" applyBorder="1" applyAlignment="1">
      <alignment horizontal="left"/>
    </xf>
    <xf numFmtId="0" fontId="1" fillId="0" borderId="0" xfId="0" applyFont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15" fillId="0" borderId="0" xfId="0" applyFont="1" applyAlignment="1">
      <alignment horizontal="center"/>
    </xf>
    <xf numFmtId="0" fontId="4" fillId="0" borderId="0" xfId="0" applyFont="1" applyAlignment="1">
      <alignment horizontal="left" vertical="center" wrapText="1"/>
    </xf>
    <xf numFmtId="0" fontId="43" fillId="0" borderId="0" xfId="0" applyFont="1" applyBorder="1"/>
    <xf numFmtId="0" fontId="14" fillId="0" borderId="0" xfId="0" applyFont="1" applyBorder="1" applyAlignment="1">
      <alignment horizontal="left" vertical="top" wrapText="1"/>
    </xf>
    <xf numFmtId="0" fontId="48" fillId="0" borderId="0" xfId="0" applyFont="1" applyAlignment="1">
      <alignment horizontal="left" vertical="top" wrapText="1"/>
    </xf>
    <xf numFmtId="0" fontId="14" fillId="0" borderId="0" xfId="0" applyFont="1" applyBorder="1" applyAlignment="1">
      <alignment vertical="top" wrapText="1"/>
    </xf>
    <xf numFmtId="0" fontId="12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top" wrapText="1"/>
    </xf>
    <xf numFmtId="0" fontId="42" fillId="0" borderId="0" xfId="0" applyFont="1" applyAlignment="1">
      <alignment horizontal="left" wrapText="1"/>
    </xf>
    <xf numFmtId="0" fontId="16" fillId="0" borderId="14" xfId="0" applyFont="1" applyBorder="1" applyAlignment="1">
      <alignment horizontal="left" vertical="top" wrapText="1"/>
    </xf>
    <xf numFmtId="0" fontId="16" fillId="0" borderId="0" xfId="0" applyFont="1" applyBorder="1" applyAlignment="1">
      <alignment horizontal="left" vertical="top" wrapText="1"/>
    </xf>
    <xf numFmtId="0" fontId="16" fillId="0" borderId="15" xfId="0" applyFont="1" applyBorder="1" applyAlignment="1">
      <alignment horizontal="left" vertical="top" wrapText="1"/>
    </xf>
    <xf numFmtId="0" fontId="16" fillId="0" borderId="11" xfId="0" applyFont="1" applyBorder="1" applyAlignment="1">
      <alignment horizontal="left" vertical="top" wrapText="1"/>
    </xf>
    <xf numFmtId="0" fontId="16" fillId="0" borderId="12" xfId="0" applyFont="1" applyBorder="1" applyAlignment="1">
      <alignment horizontal="left" vertical="top" wrapText="1"/>
    </xf>
    <xf numFmtId="0" fontId="16" fillId="0" borderId="13" xfId="0" applyFont="1" applyBorder="1" applyAlignment="1">
      <alignment horizontal="left" vertical="top" wrapText="1"/>
    </xf>
    <xf numFmtId="167" fontId="16" fillId="0" borderId="0" xfId="0" applyNumberFormat="1" applyFont="1" applyAlignment="1">
      <alignment horizontal="left"/>
    </xf>
    <xf numFmtId="168" fontId="16" fillId="0" borderId="0" xfId="0" applyNumberFormat="1" applyFont="1" applyAlignment="1">
      <alignment horizontal="left"/>
    </xf>
    <xf numFmtId="0" fontId="16" fillId="0" borderId="0" xfId="0" applyFont="1" applyAlignment="1">
      <alignment horizontal="center"/>
    </xf>
    <xf numFmtId="164" fontId="16" fillId="0" borderId="0" xfId="0" applyNumberFormat="1" applyFont="1" applyAlignment="1">
      <alignment horizontal="left"/>
    </xf>
    <xf numFmtId="165" fontId="16" fillId="0" borderId="0" xfId="0" applyNumberFormat="1" applyFont="1" applyAlignment="1">
      <alignment horizontal="left"/>
    </xf>
    <xf numFmtId="166" fontId="16" fillId="0" borderId="0" xfId="0" applyNumberFormat="1" applyFont="1" applyAlignment="1">
      <alignment horizontal="left"/>
    </xf>
    <xf numFmtId="49" fontId="52" fillId="0" borderId="0" xfId="0" applyNumberFormat="1" applyFont="1" applyAlignment="1">
      <alignment horizontal="left" vertical="center" wrapText="1"/>
    </xf>
    <xf numFmtId="0" fontId="54" fillId="0" borderId="0" xfId="0" applyFont="1" applyAlignment="1">
      <alignment horizontal="center" vertical="center" wrapText="1"/>
    </xf>
    <xf numFmtId="0" fontId="4" fillId="0" borderId="45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4" fillId="0" borderId="20" xfId="0" applyFont="1" applyBorder="1" applyAlignment="1">
      <alignment horizontal="center" vertical="center"/>
    </xf>
    <xf numFmtId="0" fontId="44" fillId="0" borderId="19" xfId="0" applyFont="1" applyBorder="1" applyAlignment="1">
      <alignment horizontal="center" vertical="center"/>
    </xf>
    <xf numFmtId="0" fontId="44" fillId="0" borderId="17" xfId="0" applyFont="1" applyBorder="1" applyAlignment="1">
      <alignment horizontal="center" vertical="center"/>
    </xf>
    <xf numFmtId="0" fontId="44" fillId="0" borderId="16" xfId="0" applyFont="1" applyBorder="1" applyAlignment="1">
      <alignment horizontal="center" vertical="center"/>
    </xf>
    <xf numFmtId="172" fontId="51" fillId="0" borderId="47" xfId="0" applyNumberFormat="1" applyFont="1" applyBorder="1" applyAlignment="1">
      <alignment horizontal="center" vertical="center"/>
    </xf>
    <xf numFmtId="172" fontId="51" fillId="0" borderId="18" xfId="0" applyNumberFormat="1" applyFont="1" applyBorder="1" applyAlignment="1">
      <alignment horizontal="center" vertical="center"/>
    </xf>
    <xf numFmtId="0" fontId="44" fillId="0" borderId="0" xfId="0" applyFont="1" applyBorder="1" applyAlignment="1">
      <alignment horizontal="center" vertical="center"/>
    </xf>
    <xf numFmtId="0" fontId="44" fillId="0" borderId="18" xfId="0" applyFont="1" applyBorder="1" applyAlignment="1">
      <alignment horizontal="center" vertical="center"/>
    </xf>
    <xf numFmtId="0" fontId="44" fillId="0" borderId="45" xfId="0" applyFont="1" applyBorder="1" applyAlignment="1">
      <alignment horizontal="center" vertical="center" wrapText="1"/>
    </xf>
    <xf numFmtId="0" fontId="44" fillId="0" borderId="46" xfId="0" applyFont="1" applyBorder="1" applyAlignment="1">
      <alignment horizontal="center" vertical="center" wrapText="1"/>
    </xf>
    <xf numFmtId="0" fontId="0" fillId="0" borderId="45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6" xfId="0" applyBorder="1" applyAlignment="1">
      <alignment horizontal="center"/>
    </xf>
    <xf numFmtId="0" fontId="44" fillId="0" borderId="45" xfId="0" applyFont="1" applyBorder="1" applyAlignment="1">
      <alignment horizontal="center" vertical="center"/>
    </xf>
    <xf numFmtId="0" fontId="44" fillId="0" borderId="46" xfId="0" applyFont="1" applyBorder="1" applyAlignment="1">
      <alignment horizontal="center" vertical="center"/>
    </xf>
    <xf numFmtId="0" fontId="44" fillId="0" borderId="45" xfId="0" applyFont="1" applyBorder="1" applyAlignment="1">
      <alignment horizontal="left" vertical="center"/>
    </xf>
    <xf numFmtId="0" fontId="44" fillId="0" borderId="47" xfId="0" applyFont="1" applyBorder="1" applyAlignment="1">
      <alignment horizontal="left" vertical="center"/>
    </xf>
    <xf numFmtId="0" fontId="44" fillId="0" borderId="46" xfId="0" applyFont="1" applyBorder="1" applyAlignment="1">
      <alignment horizontal="left" vertical="center"/>
    </xf>
    <xf numFmtId="0" fontId="44" fillId="0" borderId="20" xfId="0" applyFont="1" applyBorder="1" applyAlignment="1">
      <alignment horizontal="left" vertical="center"/>
    </xf>
    <xf numFmtId="0" fontId="44" fillId="0" borderId="0" xfId="0" applyFont="1" applyBorder="1" applyAlignment="1">
      <alignment horizontal="left" vertical="center"/>
    </xf>
    <xf numFmtId="0" fontId="44" fillId="0" borderId="19" xfId="0" applyFont="1" applyBorder="1" applyAlignment="1">
      <alignment horizontal="left" vertical="center"/>
    </xf>
    <xf numFmtId="0" fontId="4" fillId="0" borderId="4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52" fillId="0" borderId="20" xfId="0" applyFont="1" applyBorder="1" applyAlignment="1">
      <alignment horizontal="center" vertical="center"/>
    </xf>
    <xf numFmtId="0" fontId="52" fillId="0" borderId="0" xfId="0" applyFont="1" applyBorder="1" applyAlignment="1">
      <alignment horizontal="center" vertical="center"/>
    </xf>
    <xf numFmtId="0" fontId="52" fillId="0" borderId="19" xfId="0" applyFont="1" applyBorder="1" applyAlignment="1">
      <alignment horizontal="center" vertical="center"/>
    </xf>
    <xf numFmtId="0" fontId="52" fillId="0" borderId="17" xfId="0" applyFont="1" applyBorder="1" applyAlignment="1">
      <alignment horizontal="center" vertical="center"/>
    </xf>
    <xf numFmtId="0" fontId="52" fillId="0" borderId="18" xfId="0" applyFont="1" applyBorder="1" applyAlignment="1">
      <alignment horizontal="center" vertical="center"/>
    </xf>
    <xf numFmtId="0" fontId="52" fillId="0" borderId="16" xfId="0" applyFont="1" applyBorder="1" applyAlignment="1">
      <alignment horizontal="center" vertical="center"/>
    </xf>
    <xf numFmtId="0" fontId="3" fillId="0" borderId="0" xfId="1" applyFont="1" applyFill="1" applyAlignment="1" applyProtection="1">
      <alignment vertical="center"/>
    </xf>
    <xf numFmtId="0" fontId="22" fillId="0" borderId="2" xfId="1" applyFont="1" applyBorder="1" applyAlignment="1" applyProtection="1">
      <alignment horizontal="center" vertical="center"/>
    </xf>
    <xf numFmtId="0" fontId="22" fillId="0" borderId="3" xfId="1" applyFont="1" applyBorder="1" applyAlignment="1" applyProtection="1">
      <alignment horizontal="center" vertical="center"/>
    </xf>
    <xf numFmtId="0" fontId="22" fillId="0" borderId="4" xfId="1" applyFont="1" applyBorder="1" applyAlignment="1" applyProtection="1">
      <alignment horizontal="center" vertical="center"/>
    </xf>
    <xf numFmtId="0" fontId="22" fillId="0" borderId="14" xfId="1" applyFont="1" applyBorder="1" applyAlignment="1" applyProtection="1">
      <alignment horizontal="center" vertical="center"/>
    </xf>
    <xf numFmtId="0" fontId="22" fillId="0" borderId="0" xfId="1" applyFont="1" applyBorder="1" applyAlignment="1" applyProtection="1">
      <alignment horizontal="center" vertical="center"/>
    </xf>
    <xf numFmtId="0" fontId="22" fillId="0" borderId="15" xfId="1" applyFont="1" applyBorder="1" applyAlignment="1" applyProtection="1">
      <alignment horizontal="center" vertical="center"/>
    </xf>
    <xf numFmtId="0" fontId="22" fillId="0" borderId="38" xfId="1" applyFont="1" applyBorder="1" applyAlignment="1" applyProtection="1">
      <alignment horizontal="center" vertical="center"/>
    </xf>
    <xf numFmtId="0" fontId="22" fillId="0" borderId="37" xfId="1" applyFont="1" applyBorder="1" applyAlignment="1" applyProtection="1">
      <alignment horizontal="center" vertical="center"/>
    </xf>
    <xf numFmtId="0" fontId="22" fillId="0" borderId="36" xfId="1" applyFont="1" applyBorder="1" applyAlignment="1" applyProtection="1">
      <alignment horizontal="center" vertical="center"/>
    </xf>
    <xf numFmtId="0" fontId="22" fillId="0" borderId="8" xfId="1" applyFont="1" applyBorder="1" applyAlignment="1" applyProtection="1">
      <alignment vertical="center" wrapText="1"/>
    </xf>
    <xf numFmtId="0" fontId="22" fillId="0" borderId="9" xfId="1" applyFont="1" applyBorder="1" applyAlignment="1" applyProtection="1">
      <alignment vertical="center" wrapText="1"/>
    </xf>
    <xf numFmtId="0" fontId="22" fillId="0" borderId="39" xfId="1" applyFont="1" applyBorder="1" applyAlignment="1" applyProtection="1">
      <alignment vertical="center" wrapText="1"/>
    </xf>
    <xf numFmtId="0" fontId="22" fillId="0" borderId="5" xfId="1" applyFont="1" applyBorder="1" applyAlignment="1" applyProtection="1">
      <alignment horizontal="center"/>
    </xf>
    <xf numFmtId="0" fontId="22" fillId="0" borderId="7" xfId="1" applyFont="1" applyBorder="1" applyAlignment="1" applyProtection="1">
      <alignment horizontal="center"/>
    </xf>
    <xf numFmtId="0" fontId="22" fillId="0" borderId="35" xfId="1" applyFont="1" applyBorder="1" applyAlignment="1" applyProtection="1">
      <alignment horizontal="center"/>
    </xf>
    <xf numFmtId="0" fontId="22" fillId="0" borderId="43" xfId="1" applyFont="1" applyBorder="1" applyAlignment="1" applyProtection="1">
      <alignment horizontal="center"/>
    </xf>
    <xf numFmtId="0" fontId="22" fillId="0" borderId="35" xfId="1" applyNumberFormat="1" applyFont="1" applyBorder="1" applyAlignment="1" applyProtection="1">
      <alignment horizontal="center"/>
    </xf>
    <xf numFmtId="0" fontId="22" fillId="0" borderId="44" xfId="1" applyNumberFormat="1" applyFont="1" applyBorder="1" applyAlignment="1" applyProtection="1">
      <alignment horizontal="center"/>
    </xf>
    <xf numFmtId="0" fontId="22" fillId="0" borderId="43" xfId="1" applyNumberFormat="1" applyFont="1" applyBorder="1" applyAlignment="1" applyProtection="1">
      <alignment horizontal="center"/>
    </xf>
    <xf numFmtId="0" fontId="22" fillId="0" borderId="0" xfId="1" applyNumberFormat="1" applyFont="1" applyFill="1" applyAlignment="1" applyProtection="1">
      <alignment vertical="center"/>
      <protection locked="0"/>
    </xf>
    <xf numFmtId="2" fontId="3" fillId="0" borderId="0" xfId="1" applyNumberFormat="1" applyFont="1" applyAlignment="1" applyProtection="1">
      <alignment horizontal="left"/>
    </xf>
    <xf numFmtId="0" fontId="18" fillId="0" borderId="0" xfId="1" applyFont="1" applyBorder="1" applyAlignment="1" applyProtection="1">
      <alignment wrapText="1"/>
    </xf>
    <xf numFmtId="0" fontId="41" fillId="0" borderId="0" xfId="1" applyFont="1" applyAlignment="1" applyProtection="1">
      <alignment horizontal="center" vertical="center"/>
    </xf>
    <xf numFmtId="0" fontId="19" fillId="0" borderId="0" xfId="1" applyAlignment="1">
      <alignment horizontal="center" vertical="center"/>
    </xf>
    <xf numFmtId="49" fontId="3" fillId="0" borderId="0" xfId="1" applyNumberFormat="1" applyFont="1" applyFill="1" applyAlignment="1" applyProtection="1">
      <alignment horizontal="right" vertical="center"/>
      <protection locked="0"/>
    </xf>
    <xf numFmtId="14" fontId="3" fillId="0" borderId="0" xfId="1" applyNumberFormat="1" applyFont="1" applyFill="1" applyAlignment="1" applyProtection="1">
      <alignment horizontal="right" vertical="center"/>
      <protection locked="0"/>
    </xf>
    <xf numFmtId="0" fontId="18" fillId="0" borderId="14" xfId="1" applyFont="1" applyBorder="1" applyAlignment="1" applyProtection="1">
      <alignment vertical="center" wrapText="1"/>
    </xf>
    <xf numFmtId="0" fontId="18" fillId="0" borderId="0" xfId="1" applyFont="1" applyBorder="1" applyAlignment="1" applyProtection="1">
      <alignment vertical="center" wrapText="1"/>
    </xf>
    <xf numFmtId="0" fontId="18" fillId="0" borderId="2" xfId="1" applyFont="1" applyBorder="1" applyAlignment="1" applyProtection="1">
      <alignment vertical="center" wrapText="1"/>
    </xf>
    <xf numFmtId="0" fontId="18" fillId="0" borderId="3" xfId="1" applyFont="1" applyBorder="1" applyAlignment="1" applyProtection="1">
      <alignment vertical="center" wrapText="1"/>
    </xf>
    <xf numFmtId="0" fontId="18" fillId="0" borderId="4" xfId="1" applyFont="1" applyBorder="1" applyAlignment="1" applyProtection="1">
      <alignment vertical="center" wrapText="1"/>
    </xf>
    <xf numFmtId="0" fontId="18" fillId="0" borderId="15" xfId="1" applyFont="1" applyBorder="1" applyAlignment="1" applyProtection="1">
      <alignment vertical="center" wrapText="1"/>
    </xf>
    <xf numFmtId="0" fontId="18" fillId="0" borderId="11" xfId="1" applyFont="1" applyBorder="1" applyAlignment="1" applyProtection="1">
      <alignment vertical="center" wrapText="1"/>
    </xf>
    <xf numFmtId="0" fontId="18" fillId="0" borderId="12" xfId="1" applyFont="1" applyBorder="1" applyAlignment="1" applyProtection="1">
      <alignment vertical="center" wrapText="1"/>
    </xf>
    <xf numFmtId="0" fontId="18" fillId="0" borderId="13" xfId="1" applyFont="1" applyBorder="1" applyAlignment="1" applyProtection="1">
      <alignment vertical="center" wrapText="1"/>
    </xf>
    <xf numFmtId="0" fontId="18" fillId="0" borderId="0" xfId="1" applyFont="1" applyBorder="1" applyAlignment="1" applyProtection="1">
      <alignment horizontal="left" vertical="center" wrapText="1"/>
    </xf>
    <xf numFmtId="0" fontId="22" fillId="0" borderId="6" xfId="1" applyFont="1" applyBorder="1" applyAlignment="1" applyProtection="1">
      <alignment horizontal="center"/>
    </xf>
    <xf numFmtId="0" fontId="3" fillId="0" borderId="0" xfId="1" applyFont="1" applyAlignment="1" applyProtection="1">
      <alignment horizontal="center" vertical="center"/>
    </xf>
    <xf numFmtId="0" fontId="36" fillId="0" borderId="0" xfId="1" applyFont="1" applyAlignment="1">
      <alignment horizontal="center" vertical="center"/>
    </xf>
    <xf numFmtId="0" fontId="22" fillId="0" borderId="40" xfId="1" applyFont="1" applyBorder="1" applyAlignment="1" applyProtection="1">
      <alignment horizontal="center"/>
    </xf>
    <xf numFmtId="0" fontId="22" fillId="0" borderId="42" xfId="1" applyFont="1" applyBorder="1" applyAlignment="1" applyProtection="1">
      <alignment horizontal="center"/>
    </xf>
    <xf numFmtId="0" fontId="22" fillId="0" borderId="41" xfId="1" applyFont="1" applyBorder="1" applyAlignment="1" applyProtection="1">
      <alignment horizontal="center"/>
    </xf>
  </cellXfs>
  <cellStyles count="5">
    <cellStyle name="Hivatkozás" xfId="4" builtinId="8"/>
    <cellStyle name="Normál" xfId="0" builtinId="0"/>
    <cellStyle name="Normál 2" xfId="1" xr:uid="{00000000-0005-0000-0000-000002000000}"/>
    <cellStyle name="Normál 2 2" xfId="2" xr:uid="{00000000-0005-0000-0000-000003000000}"/>
    <cellStyle name="Százalék 2" xfId="3" xr:uid="{00000000-0005-0000-0000-000004000000}"/>
  </cellStyles>
  <dxfs count="10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ont>
        <condense val="0"/>
        <extend val="0"/>
        <color auto="1"/>
      </font>
      <fill>
        <patternFill>
          <bgColor indexed="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Drop" dropLines="5" dropStyle="combo" dx="26" fmlaLink="$J$53" fmlaRange="$K$53:$K$57" noThreeD="1" sel="1" val="0"/>
</file>

<file path=xl/ctrlProps/ctrlProp10.xml><?xml version="1.0" encoding="utf-8"?>
<formControlPr xmlns="http://schemas.microsoft.com/office/spreadsheetml/2009/9/main" objectType="Spin" dx="16" fmlaLink="$O$27" inc="100" max="10000" min="200" page="10" val="1000"/>
</file>

<file path=xl/ctrlProps/ctrlProp11.xml><?xml version="1.0" encoding="utf-8"?>
<formControlPr xmlns="http://schemas.microsoft.com/office/spreadsheetml/2009/9/main" objectType="Drop" dropLines="3" dropStyle="combo" dx="26" fmlaLink="$A$71" fmlaRange="$B$71:$B$74" noThreeD="1" sel="4" val="0"/>
</file>

<file path=xl/ctrlProps/ctrlProp12.xml><?xml version="1.0" encoding="utf-8"?>
<formControlPr xmlns="http://schemas.microsoft.com/office/spreadsheetml/2009/9/main" objectType="Drop" dropLines="2" dropStyle="combo" dx="26" fmlaLink="$O$124" fmlaRange="$P$124:$P$125" noThreeD="1" sel="1" val="0"/>
</file>

<file path=xl/ctrlProps/ctrlProp13.xml><?xml version="1.0" encoding="utf-8"?>
<formControlPr xmlns="http://schemas.microsoft.com/office/spreadsheetml/2009/9/main" objectType="Drop" dropLines="30" dropStyle="combo" dx="16" fmlaLink="$C$8" fmlaRange="$R$46:$AF$75" noThreeD="1" sel="1" val="0"/>
</file>

<file path=xl/ctrlProps/ctrlProp14.xml><?xml version="1.0" encoding="utf-8"?>
<formControlPr xmlns="http://schemas.microsoft.com/office/spreadsheetml/2009/9/main" objectType="Drop" dropLines="4" dropStyle="combo" dx="16" fmlaLink="$C$9" fmlaRange="$R$38:$R$41" noThreeD="1" sel="3" val="0"/>
</file>

<file path=xl/ctrlProps/ctrlProp2.xml><?xml version="1.0" encoding="utf-8"?>
<formControlPr xmlns="http://schemas.microsoft.com/office/spreadsheetml/2009/9/main" objectType="Drop" dropLines="28" dropStyle="combo" dx="26" fmlaLink="$M$53" fmlaRange="$N$53:$N$82" noThreeD="1" sel="11" val="2"/>
</file>

<file path=xl/ctrlProps/ctrlProp3.xml><?xml version="1.0" encoding="utf-8"?>
<formControlPr xmlns="http://schemas.microsoft.com/office/spreadsheetml/2009/9/main" objectType="Drop" dropLines="5" dropStyle="combo" dx="26" fmlaLink="$Q$53" fmlaRange="$R$53:$R$57" noThreeD="1" sel="3" val="0"/>
</file>

<file path=xl/ctrlProps/ctrlProp4.xml><?xml version="1.0" encoding="utf-8"?>
<formControlPr xmlns="http://schemas.microsoft.com/office/spreadsheetml/2009/9/main" objectType="Drop" dropStyle="combo" dx="26" fmlaLink="$S$53" fmlaRange="$T$53:$T$60" noThreeD="1" sel="2" val="0"/>
</file>

<file path=xl/ctrlProps/ctrlProp5.xml><?xml version="1.0" encoding="utf-8"?>
<formControlPr xmlns="http://schemas.microsoft.com/office/spreadsheetml/2009/9/main" objectType="Drop" dropLines="3" dropStyle="combo" dx="26" fmlaLink="$W$53" fmlaRange="$X$53:$X$55" noThreeD="1" sel="1" val="0"/>
</file>

<file path=xl/ctrlProps/ctrlProp6.xml><?xml version="1.0" encoding="utf-8"?>
<formControlPr xmlns="http://schemas.microsoft.com/office/spreadsheetml/2009/9/main" objectType="Drop" dropLines="2" dropStyle="combo" dx="26" fmlaLink="$Q$61" fmlaRange="$R$61:$R$62" noThreeD="1" sel="2" val="0"/>
</file>

<file path=xl/ctrlProps/ctrlProp7.xml><?xml version="1.0" encoding="utf-8"?>
<formControlPr xmlns="http://schemas.microsoft.com/office/spreadsheetml/2009/9/main" objectType="Drop" dropLines="3" dropStyle="combo" dx="26" fmlaLink="$T$61" fmlaRange="$U$61:$U$63" noThreeD="1" sel="2" val="0"/>
</file>

<file path=xl/ctrlProps/ctrlProp8.xml><?xml version="1.0" encoding="utf-8"?>
<formControlPr xmlns="http://schemas.microsoft.com/office/spreadsheetml/2009/9/main" objectType="Drop" dropLines="13" dropStyle="combo" dx="26" fmlaLink="$W$61" fmlaRange="$X$61:$X$73" noThreeD="1" sel="1" val="0"/>
</file>

<file path=xl/ctrlProps/ctrlProp9.xml><?xml version="1.0" encoding="utf-8"?>
<formControlPr xmlns="http://schemas.microsoft.com/office/spreadsheetml/2009/9/main" objectType="Drop" dropLines="14" dropStyle="combo" dx="26" fmlaLink="$A$54" fmlaRange="$B$54:$B$67" noThreeD="1" sel="1" val="0"/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25</xdr:row>
          <xdr:rowOff>9525</xdr:rowOff>
        </xdr:from>
        <xdr:to>
          <xdr:col>11</xdr:col>
          <xdr:colOff>333375</xdr:colOff>
          <xdr:row>25</xdr:row>
          <xdr:rowOff>209550</xdr:rowOff>
        </xdr:to>
        <xdr:sp macro="" textlink="">
          <xdr:nvSpPr>
            <xdr:cNvPr id="1029" name="Drop Down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1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26</xdr:row>
          <xdr:rowOff>19050</xdr:rowOff>
        </xdr:from>
        <xdr:to>
          <xdr:col>10</xdr:col>
          <xdr:colOff>600075</xdr:colOff>
          <xdr:row>26</xdr:row>
          <xdr:rowOff>209550</xdr:rowOff>
        </xdr:to>
        <xdr:sp macro="" textlink="">
          <xdr:nvSpPr>
            <xdr:cNvPr id="1031" name="Drop Down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26</xdr:row>
          <xdr:rowOff>19050</xdr:rowOff>
        </xdr:from>
        <xdr:to>
          <xdr:col>12</xdr:col>
          <xdr:colOff>466725</xdr:colOff>
          <xdr:row>26</xdr:row>
          <xdr:rowOff>209550</xdr:rowOff>
        </xdr:to>
        <xdr:sp macro="" textlink="">
          <xdr:nvSpPr>
            <xdr:cNvPr id="1032" name="Drop Down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28</xdr:row>
          <xdr:rowOff>9525</xdr:rowOff>
        </xdr:from>
        <xdr:to>
          <xdr:col>12</xdr:col>
          <xdr:colOff>114300</xdr:colOff>
          <xdr:row>28</xdr:row>
          <xdr:rowOff>219075</xdr:rowOff>
        </xdr:to>
        <xdr:sp macro="" textlink="">
          <xdr:nvSpPr>
            <xdr:cNvPr id="1033" name="Drop Down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1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29</xdr:row>
          <xdr:rowOff>9525</xdr:rowOff>
        </xdr:from>
        <xdr:to>
          <xdr:col>13</xdr:col>
          <xdr:colOff>85725</xdr:colOff>
          <xdr:row>29</xdr:row>
          <xdr:rowOff>209550</xdr:rowOff>
        </xdr:to>
        <xdr:sp macro="" textlink="">
          <xdr:nvSpPr>
            <xdr:cNvPr id="1034" name="Drop Down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1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33</xdr:row>
          <xdr:rowOff>0</xdr:rowOff>
        </xdr:from>
        <xdr:to>
          <xdr:col>10</xdr:col>
          <xdr:colOff>276225</xdr:colOff>
          <xdr:row>33</xdr:row>
          <xdr:rowOff>200025</xdr:rowOff>
        </xdr:to>
        <xdr:sp macro="" textlink="">
          <xdr:nvSpPr>
            <xdr:cNvPr id="1035" name="Drop Down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1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34</xdr:row>
          <xdr:rowOff>0</xdr:rowOff>
        </xdr:from>
        <xdr:to>
          <xdr:col>11</xdr:col>
          <xdr:colOff>133350</xdr:colOff>
          <xdr:row>34</xdr:row>
          <xdr:rowOff>200025</xdr:rowOff>
        </xdr:to>
        <xdr:sp macro="" textlink="">
          <xdr:nvSpPr>
            <xdr:cNvPr id="1036" name="Drop Down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1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35</xdr:row>
          <xdr:rowOff>0</xdr:rowOff>
        </xdr:from>
        <xdr:to>
          <xdr:col>13</xdr:col>
          <xdr:colOff>209550</xdr:colOff>
          <xdr:row>35</xdr:row>
          <xdr:rowOff>200025</xdr:rowOff>
        </xdr:to>
        <xdr:sp macro="" textlink="">
          <xdr:nvSpPr>
            <xdr:cNvPr id="1037" name="Drop Down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1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9525</xdr:colOff>
          <xdr:row>44</xdr:row>
          <xdr:rowOff>0</xdr:rowOff>
        </xdr:from>
        <xdr:to>
          <xdr:col>12</xdr:col>
          <xdr:colOff>266700</xdr:colOff>
          <xdr:row>44</xdr:row>
          <xdr:rowOff>219075</xdr:rowOff>
        </xdr:to>
        <xdr:sp macro="" textlink="">
          <xdr:nvSpPr>
            <xdr:cNvPr id="1046" name="Drop Down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9525</xdr:colOff>
          <xdr:row>25</xdr:row>
          <xdr:rowOff>190500</xdr:rowOff>
        </xdr:from>
        <xdr:to>
          <xdr:col>15</xdr:col>
          <xdr:colOff>266700</xdr:colOff>
          <xdr:row>27</xdr:row>
          <xdr:rowOff>38100</xdr:rowOff>
        </xdr:to>
        <xdr:sp macro="" textlink="">
          <xdr:nvSpPr>
            <xdr:cNvPr id="1048" name="Spinner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9525</xdr:colOff>
          <xdr:row>46</xdr:row>
          <xdr:rowOff>0</xdr:rowOff>
        </xdr:from>
        <xdr:to>
          <xdr:col>12</xdr:col>
          <xdr:colOff>266700</xdr:colOff>
          <xdr:row>46</xdr:row>
          <xdr:rowOff>219075</xdr:rowOff>
        </xdr:to>
        <xdr:sp macro="" textlink="">
          <xdr:nvSpPr>
            <xdr:cNvPr id="1052" name="Drop Down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00000000-0008-0000-0000-00001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58</xdr:row>
      <xdr:rowOff>76200</xdr:rowOff>
    </xdr:from>
    <xdr:to>
      <xdr:col>2</xdr:col>
      <xdr:colOff>342900</xdr:colOff>
      <xdr:row>59</xdr:row>
      <xdr:rowOff>160020</xdr:rowOff>
    </xdr:to>
    <xdr:pic>
      <xdr:nvPicPr>
        <xdr:cNvPr id="3224" name="Kép 5">
          <a:extLst>
            <a:ext uri="{FF2B5EF4-FFF2-40B4-BE49-F238E27FC236}">
              <a16:creationId xmlns:a16="http://schemas.microsoft.com/office/drawing/2014/main" id="{00000000-0008-0000-0100-000098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1640" y="10073640"/>
          <a:ext cx="952500" cy="251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1295400</xdr:colOff>
      <xdr:row>4</xdr:row>
      <xdr:rowOff>68580</xdr:rowOff>
    </xdr:to>
    <xdr:pic>
      <xdr:nvPicPr>
        <xdr:cNvPr id="3225" name="Kép 1">
          <a:extLst>
            <a:ext uri="{FF2B5EF4-FFF2-40B4-BE49-F238E27FC236}">
              <a16:creationId xmlns:a16="http://schemas.microsoft.com/office/drawing/2014/main" id="{00000000-0008-0000-0100-000099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95400" cy="586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</xdr:colOff>
          <xdr:row>117</xdr:row>
          <xdr:rowOff>9525</xdr:rowOff>
        </xdr:from>
        <xdr:to>
          <xdr:col>12</xdr:col>
          <xdr:colOff>19050</xdr:colOff>
          <xdr:row>118</xdr:row>
          <xdr:rowOff>19050</xdr:rowOff>
        </xdr:to>
        <xdr:sp macro="" textlink="">
          <xdr:nvSpPr>
            <xdr:cNvPr id="2050" name="Drop Down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1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1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 fPrintsWithSheet="0"/>
      </xdr:twoCellAnchor>
    </mc:Choice>
    <mc:Fallback/>
  </mc:AlternateContent>
  <xdr:twoCellAnchor editAs="oneCell">
    <xdr:from>
      <xdr:col>4</xdr:col>
      <xdr:colOff>9525</xdr:colOff>
      <xdr:row>120</xdr:row>
      <xdr:rowOff>19050</xdr:rowOff>
    </xdr:from>
    <xdr:to>
      <xdr:col>5</xdr:col>
      <xdr:colOff>47625</xdr:colOff>
      <xdr:row>122</xdr:row>
      <xdr:rowOff>8443</xdr:rowOff>
    </xdr:to>
    <xdr:pic>
      <xdr:nvPicPr>
        <xdr:cNvPr id="2" name="Kép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38550" y="21488400"/>
          <a:ext cx="1295400" cy="40849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219075</xdr:colOff>
      <xdr:row>36</xdr:row>
      <xdr:rowOff>0</xdr:rowOff>
    </xdr:from>
    <xdr:to>
      <xdr:col>8</xdr:col>
      <xdr:colOff>314325</xdr:colOff>
      <xdr:row>37</xdr:row>
      <xdr:rowOff>198943</xdr:rowOff>
    </xdr:to>
    <xdr:pic>
      <xdr:nvPicPr>
        <xdr:cNvPr id="2" name="Kép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81425" y="7572375"/>
          <a:ext cx="1295400" cy="40849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152400</xdr:colOff>
      <xdr:row>40</xdr:row>
      <xdr:rowOff>104775</xdr:rowOff>
    </xdr:from>
    <xdr:to>
      <xdr:col>8</xdr:col>
      <xdr:colOff>228600</xdr:colOff>
      <xdr:row>42</xdr:row>
      <xdr:rowOff>113218</xdr:rowOff>
    </xdr:to>
    <xdr:pic>
      <xdr:nvPicPr>
        <xdr:cNvPr id="2" name="Kép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05250" y="7762875"/>
          <a:ext cx="1295400" cy="408493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218661</xdr:colOff>
      <xdr:row>43</xdr:row>
      <xdr:rowOff>8283</xdr:rowOff>
    </xdr:from>
    <xdr:to>
      <xdr:col>11</xdr:col>
      <xdr:colOff>563217</xdr:colOff>
      <xdr:row>44</xdr:row>
      <xdr:rowOff>157369</xdr:rowOff>
    </xdr:to>
    <xdr:sp macro="" textlink="L21">
      <xdr:nvSpPr>
        <xdr:cNvPr id="2" name="N érték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>
          <a:spLocks noChangeArrowheads="1" noTextEdit="1"/>
        </xdr:cNvSpPr>
      </xdr:nvSpPr>
      <xdr:spPr bwMode="auto">
        <a:xfrm>
          <a:off x="6924261" y="6971058"/>
          <a:ext cx="344556" cy="31101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val="BCBCBC"/>
          </a:solidFill>
          <a:miter lim="800000"/>
          <a:headEnd/>
          <a:tailEnd/>
        </a:ln>
      </xdr:spPr>
      <xdr:txBody>
        <a:bodyPr vertOverflow="clip" wrap="square" lIns="91440" tIns="45720" rIns="91440" bIns="45720" anchor="t"/>
        <a:lstStyle/>
        <a:p>
          <a:pPr algn="l" rtl="0">
            <a:defRPr sz="1000"/>
          </a:pPr>
          <a:fld id="{73CF2A2B-6312-49BA-A668-2322DDB05605}" type="TxLink">
            <a:rPr lang="hu-HU" sz="900" b="0" i="0" u="none" strike="noStrike" baseline="0">
              <a:solidFill>
                <a:srgbClr val="FF0000"/>
              </a:solidFill>
              <a:latin typeface="Arial CE"/>
              <a:cs typeface="Arial CE"/>
            </a:rPr>
            <a:pPr algn="l" rtl="0">
              <a:defRPr sz="1000"/>
            </a:pPr>
            <a:t>6</a:t>
          </a:fld>
          <a:endParaRPr lang="hu-HU"/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371475</xdr:colOff>
          <xdr:row>6</xdr:row>
          <xdr:rowOff>142875</xdr:rowOff>
        </xdr:from>
        <xdr:to>
          <xdr:col>12</xdr:col>
          <xdr:colOff>504825</xdr:colOff>
          <xdr:row>8</xdr:row>
          <xdr:rowOff>19050</xdr:rowOff>
        </xdr:to>
        <xdr:sp macro="" textlink="">
          <xdr:nvSpPr>
            <xdr:cNvPr id="8193" name="Drop Down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4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8</xdr:row>
          <xdr:rowOff>0</xdr:rowOff>
        </xdr:from>
        <xdr:to>
          <xdr:col>11</xdr:col>
          <xdr:colOff>342900</xdr:colOff>
          <xdr:row>9</xdr:row>
          <xdr:rowOff>38100</xdr:rowOff>
        </xdr:to>
        <xdr:sp macro="" textlink="">
          <xdr:nvSpPr>
            <xdr:cNvPr id="8194" name="Drop Down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4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xdr:twoCellAnchor>
    <xdr:from>
      <xdr:col>9</xdr:col>
      <xdr:colOff>133350</xdr:colOff>
      <xdr:row>28</xdr:row>
      <xdr:rowOff>0</xdr:rowOff>
    </xdr:from>
    <xdr:to>
      <xdr:col>10</xdr:col>
      <xdr:colOff>0</xdr:colOff>
      <xdr:row>28</xdr:row>
      <xdr:rowOff>161925</xdr:rowOff>
    </xdr:to>
    <xdr:sp macro="" textlink="">
      <xdr:nvSpPr>
        <xdr:cNvPr id="5" name="Szövegdoboz 2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 bwMode="auto">
        <a:xfrm>
          <a:off x="5619750" y="4533900"/>
          <a:ext cx="47625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0" tIns="0" rIns="0" bIns="0" anchor="ctr"/>
        <a:lstStyle/>
        <a:p>
          <a:pPr algn="l" rtl="0">
            <a:defRPr sz="1000"/>
          </a:pPr>
          <a:r>
            <a:rPr lang="hu-HU" sz="800" b="0" i="0" u="none" strike="noStrike" baseline="0">
              <a:solidFill>
                <a:srgbClr val="FF0000"/>
              </a:solidFill>
              <a:latin typeface="@Arial Unicode MS"/>
              <a:ea typeface="@Arial Unicode MS"/>
              <a:cs typeface="@Arial Unicode MS"/>
            </a:rPr>
            <a:t>Max. 1,6</a:t>
          </a:r>
          <a:endParaRPr lang="hu-HU"/>
        </a:p>
      </xdr:txBody>
    </xdr:sp>
    <xdr:clientData fPrintsWithSheet="0"/>
  </xdr:twoCellAnchor>
  <xdr:twoCellAnchor>
    <xdr:from>
      <xdr:col>9</xdr:col>
      <xdr:colOff>133350</xdr:colOff>
      <xdr:row>27</xdr:row>
      <xdr:rowOff>0</xdr:rowOff>
    </xdr:from>
    <xdr:to>
      <xdr:col>10</xdr:col>
      <xdr:colOff>0</xdr:colOff>
      <xdr:row>28</xdr:row>
      <xdr:rowOff>1905</xdr:rowOff>
    </xdr:to>
    <xdr:sp macro="" textlink="">
      <xdr:nvSpPr>
        <xdr:cNvPr id="6" name="Szövegdoboz 2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 bwMode="auto">
        <a:xfrm>
          <a:off x="5619750" y="4371975"/>
          <a:ext cx="476250" cy="16383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0" tIns="0" rIns="0" bIns="0" anchor="ctr"/>
        <a:lstStyle/>
        <a:p>
          <a:pPr algn="l" rtl="0">
            <a:defRPr sz="1000"/>
          </a:pPr>
          <a:r>
            <a:rPr lang="hu-HU" sz="800" b="0" i="0" u="none" strike="noStrike" baseline="0">
              <a:solidFill>
                <a:srgbClr val="FF0000"/>
              </a:solidFill>
              <a:latin typeface="@Arial Unicode MS"/>
              <a:ea typeface="@Arial Unicode MS"/>
              <a:cs typeface="@Arial Unicode MS"/>
            </a:rPr>
            <a:t>Max. 1,0</a:t>
          </a:r>
          <a:endParaRPr lang="hu-HU"/>
        </a:p>
      </xdr:txBody>
    </xdr:sp>
    <xdr:clientData fPrintsWithSheet="0"/>
  </xdr:twoCellAnchor>
  <xdr:twoCellAnchor editAs="oneCell">
    <xdr:from>
      <xdr:col>10</xdr:col>
      <xdr:colOff>371475</xdr:colOff>
      <xdr:row>3</xdr:row>
      <xdr:rowOff>38100</xdr:rowOff>
    </xdr:from>
    <xdr:to>
      <xdr:col>12</xdr:col>
      <xdr:colOff>704850</xdr:colOff>
      <xdr:row>6</xdr:row>
      <xdr:rowOff>34447</xdr:rowOff>
    </xdr:to>
    <xdr:pic>
      <xdr:nvPicPr>
        <xdr:cNvPr id="4" name="Kép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19750" y="542925"/>
          <a:ext cx="1438275" cy="4535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.xml"/><Relationship Id="rId13" Type="http://schemas.openxmlformats.org/officeDocument/2006/relationships/ctrlProp" Target="../ctrlProps/ctrlProp6.xml"/><Relationship Id="rId18" Type="http://schemas.openxmlformats.org/officeDocument/2006/relationships/ctrlProp" Target="../ctrlProps/ctrlProp11.xml"/><Relationship Id="rId3" Type="http://schemas.openxmlformats.org/officeDocument/2006/relationships/hyperlink" Target="mailto:gabor.fazekas@otis.com" TargetMode="External"/><Relationship Id="rId7" Type="http://schemas.openxmlformats.org/officeDocument/2006/relationships/vmlDrawing" Target="../drawings/vmlDrawing1.vml"/><Relationship Id="rId12" Type="http://schemas.openxmlformats.org/officeDocument/2006/relationships/ctrlProp" Target="../ctrlProps/ctrlProp5.xml"/><Relationship Id="rId17" Type="http://schemas.openxmlformats.org/officeDocument/2006/relationships/ctrlProp" Target="../ctrlProps/ctrlProp10.xml"/><Relationship Id="rId2" Type="http://schemas.openxmlformats.org/officeDocument/2006/relationships/hyperlink" Target="mailto:zoltan.matuszka@otis.com" TargetMode="External"/><Relationship Id="rId16" Type="http://schemas.openxmlformats.org/officeDocument/2006/relationships/ctrlProp" Target="../ctrlProps/ctrlProp9.xml"/><Relationship Id="rId1" Type="http://schemas.openxmlformats.org/officeDocument/2006/relationships/hyperlink" Target="mailto:lajos.balogh@otis.com" TargetMode="External"/><Relationship Id="rId6" Type="http://schemas.openxmlformats.org/officeDocument/2006/relationships/drawing" Target="../drawings/drawing1.xml"/><Relationship Id="rId11" Type="http://schemas.openxmlformats.org/officeDocument/2006/relationships/ctrlProp" Target="../ctrlProps/ctrlProp4.xml"/><Relationship Id="rId5" Type="http://schemas.openxmlformats.org/officeDocument/2006/relationships/printerSettings" Target="../printerSettings/printerSettings1.bin"/><Relationship Id="rId15" Type="http://schemas.openxmlformats.org/officeDocument/2006/relationships/ctrlProp" Target="../ctrlProps/ctrlProp8.xml"/><Relationship Id="rId10" Type="http://schemas.openxmlformats.org/officeDocument/2006/relationships/ctrlProp" Target="../ctrlProps/ctrlProp3.xml"/><Relationship Id="rId4" Type="http://schemas.openxmlformats.org/officeDocument/2006/relationships/hyperlink" Target="mailto:odonicsb@gmail.com" TargetMode="External"/><Relationship Id="rId9" Type="http://schemas.openxmlformats.org/officeDocument/2006/relationships/ctrlProp" Target="../ctrlProps/ctrlProp2.xml"/><Relationship Id="rId14" Type="http://schemas.openxmlformats.org/officeDocument/2006/relationships/ctrlProp" Target="../ctrlProps/ctrlProp7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trlProp" Target="../ctrlProps/ctrlProp1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ctrlProp" Target="../ctrlProps/ctrlProp14.xml"/><Relationship Id="rId4" Type="http://schemas.openxmlformats.org/officeDocument/2006/relationships/ctrlProp" Target="../ctrlProps/ctrlProp1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Munka1">
    <tabColor rgb="FFFFFF00"/>
  </sheetPr>
  <dimension ref="A1:X84"/>
  <sheetViews>
    <sheetView topLeftCell="A7" zoomScale="85" zoomScaleNormal="85" zoomScaleSheetLayoutView="100" workbookViewId="0">
      <selection activeCell="E34" sqref="E34:I34"/>
    </sheetView>
  </sheetViews>
  <sheetFormatPr defaultRowHeight="12.75"/>
  <cols>
    <col min="1" max="1" width="3" customWidth="1"/>
    <col min="2" max="2" width="13.5703125" customWidth="1"/>
    <col min="4" max="4" width="19.5703125" customWidth="1"/>
    <col min="5" max="5" width="9.42578125" customWidth="1"/>
    <col min="6" max="6" width="4.7109375" customWidth="1"/>
    <col min="7" max="7" width="24.42578125" customWidth="1"/>
    <col min="8" max="8" width="3.140625" customWidth="1"/>
    <col min="9" max="9" width="9.28515625" customWidth="1"/>
    <col min="10" max="10" width="7.7109375" customWidth="1"/>
    <col min="12" max="13" width="7" customWidth="1"/>
    <col min="14" max="15" width="5.85546875" customWidth="1"/>
    <col min="16" max="16" width="4.5703125" customWidth="1"/>
  </cols>
  <sheetData>
    <row r="1" spans="1:9" ht="20.45" customHeight="1">
      <c r="A1" s="316" t="s">
        <v>0</v>
      </c>
      <c r="B1" s="316"/>
      <c r="C1" s="316"/>
      <c r="D1" s="316"/>
      <c r="E1" s="316"/>
      <c r="F1" s="316"/>
      <c r="G1" s="316"/>
      <c r="H1" s="316"/>
      <c r="I1" s="316"/>
    </row>
    <row r="2" spans="1:9" ht="18" customHeight="1">
      <c r="A2" s="8" t="s">
        <v>1</v>
      </c>
      <c r="B2" s="1" t="s">
        <v>5</v>
      </c>
      <c r="C2" s="1"/>
      <c r="D2" s="1"/>
      <c r="E2" s="8"/>
      <c r="F2" s="8"/>
      <c r="G2" s="8"/>
      <c r="H2" s="9"/>
      <c r="I2" s="8"/>
    </row>
    <row r="3" spans="1:9" ht="5.25" customHeight="1">
      <c r="A3" s="8"/>
      <c r="B3" s="1"/>
      <c r="C3" s="1"/>
      <c r="D3" s="1"/>
      <c r="E3" s="8"/>
      <c r="F3" s="8"/>
      <c r="G3" s="8"/>
      <c r="H3" s="10"/>
      <c r="I3" s="8"/>
    </row>
    <row r="4" spans="1:9" ht="18" customHeight="1">
      <c r="A4" s="8" t="s">
        <v>2</v>
      </c>
      <c r="B4" s="1" t="s">
        <v>6</v>
      </c>
      <c r="C4" s="1"/>
      <c r="D4" s="1"/>
      <c r="E4" s="8"/>
      <c r="F4" s="8"/>
      <c r="G4" s="8"/>
      <c r="H4" s="9"/>
      <c r="I4" s="8"/>
    </row>
    <row r="5" spans="1:9" ht="5.25" customHeight="1">
      <c r="A5" s="8"/>
      <c r="B5" s="1"/>
      <c r="C5" s="1"/>
      <c r="D5" s="1"/>
      <c r="E5" s="8"/>
      <c r="F5" s="8"/>
      <c r="G5" s="8"/>
      <c r="H5" s="10"/>
      <c r="I5" s="8"/>
    </row>
    <row r="6" spans="1:9" ht="18" customHeight="1">
      <c r="A6" s="8" t="s">
        <v>3</v>
      </c>
      <c r="B6" s="1" t="s">
        <v>7</v>
      </c>
      <c r="C6" s="1"/>
      <c r="D6" s="1"/>
      <c r="E6" s="8"/>
      <c r="F6" s="8"/>
      <c r="G6" s="8"/>
      <c r="H6" s="9"/>
      <c r="I6" s="8"/>
    </row>
    <row r="7" spans="1:9" ht="5.25" customHeight="1">
      <c r="A7" s="8"/>
      <c r="B7" s="1"/>
      <c r="C7" s="1"/>
      <c r="D7" s="1"/>
      <c r="E7" s="8"/>
      <c r="F7" s="8"/>
      <c r="G7" s="8"/>
      <c r="H7" s="10"/>
      <c r="I7" s="8"/>
    </row>
    <row r="8" spans="1:9" ht="18" customHeight="1">
      <c r="A8" s="8" t="s">
        <v>4</v>
      </c>
      <c r="B8" s="1" t="s">
        <v>8</v>
      </c>
      <c r="C8" s="1"/>
      <c r="D8" s="1"/>
      <c r="E8" s="8"/>
      <c r="F8" s="8"/>
      <c r="G8" s="8"/>
      <c r="H8" s="9"/>
      <c r="I8" s="8"/>
    </row>
    <row r="9" spans="1:9" ht="4.5" customHeight="1">
      <c r="A9" s="1"/>
      <c r="B9" s="1"/>
      <c r="C9" s="1"/>
      <c r="D9" s="1"/>
      <c r="E9" s="8"/>
      <c r="F9" s="8"/>
      <c r="G9" s="8"/>
      <c r="H9" s="8"/>
      <c r="I9" s="8"/>
    </row>
    <row r="10" spans="1:9" ht="18" customHeight="1">
      <c r="A10" s="286" t="s">
        <v>9</v>
      </c>
      <c r="B10" s="287"/>
      <c r="C10" s="287"/>
      <c r="D10" s="288"/>
      <c r="E10" s="285"/>
      <c r="F10" s="285"/>
      <c r="G10" s="285"/>
      <c r="H10" s="285"/>
      <c r="I10" s="285"/>
    </row>
    <row r="11" spans="1:9" ht="18" customHeight="1">
      <c r="A11" s="286" t="s">
        <v>10</v>
      </c>
      <c r="B11" s="287"/>
      <c r="C11" s="287"/>
      <c r="D11" s="288"/>
      <c r="E11" s="285"/>
      <c r="F11" s="285"/>
      <c r="G11" s="285"/>
      <c r="H11" s="285"/>
      <c r="I11" s="285"/>
    </row>
    <row r="12" spans="1:9" ht="18" customHeight="1">
      <c r="A12" s="276" t="s">
        <v>11</v>
      </c>
      <c r="B12" s="278"/>
      <c r="C12" s="286" t="s">
        <v>12</v>
      </c>
      <c r="D12" s="288"/>
      <c r="E12" s="285"/>
      <c r="F12" s="285"/>
      <c r="G12" s="285"/>
      <c r="H12" s="285"/>
      <c r="I12" s="285"/>
    </row>
    <row r="13" spans="1:9" ht="18" customHeight="1">
      <c r="A13" s="294"/>
      <c r="B13" s="295"/>
      <c r="C13" s="7" t="s">
        <v>17</v>
      </c>
      <c r="D13" s="7"/>
      <c r="E13" s="285"/>
      <c r="F13" s="285"/>
      <c r="G13" s="285"/>
      <c r="H13" s="285"/>
      <c r="I13" s="285"/>
    </row>
    <row r="14" spans="1:9" ht="18" customHeight="1">
      <c r="A14" s="279"/>
      <c r="B14" s="281"/>
      <c r="C14" s="286" t="s">
        <v>13</v>
      </c>
      <c r="D14" s="288"/>
      <c r="E14" s="285"/>
      <c r="F14" s="285"/>
      <c r="G14" s="285"/>
      <c r="H14" s="285"/>
      <c r="I14" s="285"/>
    </row>
    <row r="15" spans="1:9" ht="18" customHeight="1">
      <c r="A15" s="286" t="s">
        <v>14</v>
      </c>
      <c r="B15" s="287"/>
      <c r="C15" s="287"/>
      <c r="D15" s="288"/>
      <c r="E15" s="285"/>
      <c r="F15" s="285"/>
      <c r="G15" s="285"/>
      <c r="H15" s="285"/>
      <c r="I15" s="285"/>
    </row>
    <row r="16" spans="1:9" ht="18" customHeight="1">
      <c r="A16" s="286" t="s">
        <v>15</v>
      </c>
      <c r="B16" s="287"/>
      <c r="C16" s="287"/>
      <c r="D16" s="288"/>
      <c r="E16" s="285"/>
      <c r="F16" s="285"/>
      <c r="G16" s="285"/>
      <c r="H16" s="285"/>
      <c r="I16" s="285"/>
    </row>
    <row r="17" spans="1:16" ht="18" customHeight="1">
      <c r="A17" s="276" t="s">
        <v>16</v>
      </c>
      <c r="B17" s="278"/>
      <c r="C17" s="286" t="s">
        <v>409</v>
      </c>
      <c r="D17" s="288"/>
      <c r="E17" s="302" t="s">
        <v>538</v>
      </c>
      <c r="F17" s="302"/>
      <c r="G17" s="302"/>
      <c r="H17" s="302"/>
      <c r="I17" s="302"/>
    </row>
    <row r="18" spans="1:16" ht="18" customHeight="1">
      <c r="A18" s="294"/>
      <c r="B18" s="295"/>
      <c r="C18" s="286" t="s">
        <v>410</v>
      </c>
      <c r="D18" s="288"/>
      <c r="E18" s="314" t="s">
        <v>539</v>
      </c>
      <c r="F18" s="315"/>
      <c r="G18" s="315"/>
      <c r="H18" s="315"/>
      <c r="I18" s="315"/>
    </row>
    <row r="19" spans="1:16" ht="25.5" customHeight="1">
      <c r="A19" s="279"/>
      <c r="B19" s="281"/>
      <c r="C19" s="286" t="s">
        <v>18</v>
      </c>
      <c r="D19" s="288"/>
      <c r="E19" s="301" t="s">
        <v>542</v>
      </c>
      <c r="F19" s="302"/>
      <c r="G19" s="302"/>
      <c r="H19" s="302"/>
      <c r="I19" s="302"/>
    </row>
    <row r="20" spans="1:16" ht="18" customHeight="1">
      <c r="A20" s="286" t="s">
        <v>112</v>
      </c>
      <c r="B20" s="287"/>
      <c r="C20" s="287"/>
      <c r="D20" s="288"/>
      <c r="E20" s="302" t="s">
        <v>540</v>
      </c>
      <c r="F20" s="302"/>
      <c r="G20" s="302"/>
      <c r="H20" s="302"/>
      <c r="I20" s="302"/>
    </row>
    <row r="21" spans="1:16" ht="18" customHeight="1">
      <c r="A21" s="286" t="s">
        <v>19</v>
      </c>
      <c r="B21" s="287"/>
      <c r="C21" s="287"/>
      <c r="D21" s="288"/>
      <c r="E21" s="285"/>
      <c r="F21" s="285"/>
      <c r="G21" s="285"/>
      <c r="H21" s="285"/>
      <c r="I21" s="285"/>
    </row>
    <row r="22" spans="1:16" ht="18" customHeight="1">
      <c r="A22" s="286" t="s">
        <v>20</v>
      </c>
      <c r="B22" s="287"/>
      <c r="C22" s="287"/>
      <c r="D22" s="288"/>
      <c r="E22" s="285"/>
      <c r="F22" s="285"/>
      <c r="G22" s="285"/>
      <c r="H22" s="285"/>
      <c r="I22" s="285"/>
    </row>
    <row r="23" spans="1:16" ht="18" customHeight="1">
      <c r="A23" s="286" t="s">
        <v>21</v>
      </c>
      <c r="B23" s="287"/>
      <c r="C23" s="287"/>
      <c r="D23" s="288"/>
      <c r="E23" s="303" t="s">
        <v>541</v>
      </c>
      <c r="F23" s="304"/>
      <c r="G23" s="304"/>
      <c r="H23" s="304"/>
      <c r="I23" s="305"/>
    </row>
    <row r="24" spans="1:16" ht="18" customHeight="1">
      <c r="A24" s="286" t="s">
        <v>22</v>
      </c>
      <c r="B24" s="287"/>
      <c r="C24" s="287"/>
      <c r="D24" s="288"/>
      <c r="E24" s="306" t="s">
        <v>397</v>
      </c>
      <c r="F24" s="306"/>
      <c r="G24" s="306"/>
      <c r="H24" s="306"/>
      <c r="I24" s="306"/>
      <c r="J24">
        <f>CODE(E24)</f>
        <v>45</v>
      </c>
      <c r="K24" s="214"/>
      <c r="L24" s="214"/>
      <c r="M24" s="214"/>
      <c r="N24" s="214"/>
      <c r="O24" s="214"/>
    </row>
    <row r="25" spans="1:16" ht="18" customHeight="1">
      <c r="A25" s="286" t="s">
        <v>23</v>
      </c>
      <c r="B25" s="287"/>
      <c r="C25" s="287"/>
      <c r="D25" s="288"/>
      <c r="E25" s="307" t="s">
        <v>543</v>
      </c>
      <c r="F25" s="308"/>
      <c r="G25" s="308"/>
      <c r="H25" s="308"/>
      <c r="I25" s="309"/>
    </row>
    <row r="26" spans="1:16" ht="18" customHeight="1">
      <c r="A26" s="286" t="s">
        <v>24</v>
      </c>
      <c r="B26" s="287"/>
      <c r="C26" s="287"/>
      <c r="D26" s="288"/>
      <c r="E26" s="258" t="str">
        <f>CHOOSE(J53,K53,K54,K55,K56,K57)</f>
        <v>személyfelvonó</v>
      </c>
      <c r="F26" s="258"/>
      <c r="G26" s="258"/>
      <c r="H26" s="258"/>
      <c r="I26" s="258"/>
    </row>
    <row r="27" spans="1:16" ht="18" customHeight="1">
      <c r="A27" s="286" t="s">
        <v>25</v>
      </c>
      <c r="B27" s="287"/>
      <c r="C27" s="287"/>
      <c r="D27" s="288"/>
      <c r="E27" s="310" t="str">
        <f>IF(J53=4,CHOOSE(Q53,R53,R54,R55,R56,R57,)&amp;" kg",IF(J53=5,O27&amp;" kg",CHOOSE(M53,N53,N54,N55,N56,N57,N58,N59,N60,N61,N62,N63,N64,N65,N66,N67,N68,N69,N70,N71,N72,N73,N74,N75,N76,N77,N78,N79,N80,N81,N82)&amp;" kg "&amp;J54&amp;CHOOSE(M53,O53,O54,O55,O56,O57,O58,O59,O60,O61,O62,O63,O64,O65,O66,O67,O68,O69,O70,O71,O72,O73,O74,O75,O76,O77,O78,O79,O80,O81,O82)&amp;" személy"))</f>
        <v>1000 kg = 13 személy</v>
      </c>
      <c r="F27" s="311"/>
      <c r="G27" s="311"/>
      <c r="H27" s="311"/>
      <c r="I27" s="312"/>
      <c r="J27" s="16" t="s">
        <v>107</v>
      </c>
      <c r="K27" s="17"/>
      <c r="L27" s="14" t="s">
        <v>106</v>
      </c>
      <c r="M27" s="15"/>
      <c r="N27" s="11" t="s">
        <v>108</v>
      </c>
      <c r="O27" s="12">
        <v>1000</v>
      </c>
      <c r="P27" s="13"/>
    </row>
    <row r="28" spans="1:16" ht="18" customHeight="1">
      <c r="A28" s="286" t="s">
        <v>26</v>
      </c>
      <c r="B28" s="287"/>
      <c r="C28" s="287"/>
      <c r="D28" s="288"/>
      <c r="E28" s="313">
        <v>1</v>
      </c>
      <c r="F28" s="313"/>
      <c r="G28" s="313"/>
      <c r="H28" s="313"/>
      <c r="I28" s="313"/>
    </row>
    <row r="29" spans="1:16" ht="18" customHeight="1">
      <c r="A29" s="286" t="s">
        <v>27</v>
      </c>
      <c r="B29" s="287"/>
      <c r="C29" s="287"/>
      <c r="D29" s="288"/>
      <c r="E29" s="258" t="str">
        <f>IF(J53&gt;3,"külső nyomógombos, hívó-küldő",CHOOSE(S53,T53,T54,T55,T56,T57,T58,T59,T60))</f>
        <v>szimplex, le irányban gyűjtő</v>
      </c>
      <c r="F29" s="258"/>
      <c r="G29" s="258"/>
      <c r="H29" s="258"/>
      <c r="I29" s="258"/>
    </row>
    <row r="30" spans="1:16" ht="18" customHeight="1">
      <c r="A30" s="286" t="s">
        <v>28</v>
      </c>
      <c r="B30" s="287"/>
      <c r="C30" s="287"/>
      <c r="D30" s="288"/>
      <c r="E30" s="258" t="str">
        <f>CHOOSE(W53,X53,X54,X55)</f>
        <v>mindenki által vezethető</v>
      </c>
      <c r="F30" s="258"/>
      <c r="G30" s="258"/>
      <c r="H30" s="258"/>
      <c r="I30" s="258"/>
    </row>
    <row r="31" spans="1:16" ht="18" customHeight="1">
      <c r="A31" s="286" t="s">
        <v>29</v>
      </c>
      <c r="B31" s="287"/>
      <c r="C31" s="287"/>
      <c r="D31" s="288"/>
      <c r="E31" s="297">
        <v>24.26</v>
      </c>
      <c r="F31" s="298"/>
      <c r="G31" s="298"/>
      <c r="H31" s="298"/>
      <c r="I31" s="299"/>
    </row>
    <row r="32" spans="1:16" ht="18" customHeight="1">
      <c r="A32" s="286" t="s">
        <v>30</v>
      </c>
      <c r="B32" s="287"/>
      <c r="C32" s="287"/>
      <c r="D32" s="288"/>
      <c r="E32" s="300">
        <v>8</v>
      </c>
      <c r="F32" s="300"/>
      <c r="G32" s="300"/>
      <c r="H32" s="300"/>
      <c r="I32" s="300"/>
    </row>
    <row r="33" spans="1:11" ht="18" customHeight="1">
      <c r="A33" s="286" t="s">
        <v>31</v>
      </c>
      <c r="B33" s="287"/>
      <c r="C33" s="287"/>
      <c r="D33" s="288"/>
      <c r="E33" s="300">
        <v>9</v>
      </c>
      <c r="F33" s="300"/>
      <c r="G33" s="300"/>
      <c r="H33" s="300"/>
      <c r="I33" s="300"/>
    </row>
    <row r="34" spans="1:11" ht="18" customHeight="1">
      <c r="A34" s="286" t="s">
        <v>32</v>
      </c>
      <c r="B34" s="287"/>
      <c r="C34" s="287"/>
      <c r="D34" s="288"/>
      <c r="E34" s="258" t="str">
        <f>CHOOSE(Q61,R61,R62)</f>
        <v>két oldalon</v>
      </c>
      <c r="F34" s="258"/>
      <c r="G34" s="258"/>
      <c r="H34" s="258"/>
      <c r="I34" s="258"/>
    </row>
    <row r="35" spans="1:11" ht="18" customHeight="1">
      <c r="A35" s="286" t="s">
        <v>33</v>
      </c>
      <c r="B35" s="287"/>
      <c r="C35" s="287"/>
      <c r="D35" s="288"/>
      <c r="E35" s="258" t="str">
        <f>IF(J53=4,"villamos",CHOOSE(T61,U61,U62,U63))</f>
        <v>villamos, szabályozott</v>
      </c>
      <c r="F35" s="258"/>
      <c r="G35" s="258"/>
      <c r="H35" s="258"/>
      <c r="I35" s="258"/>
    </row>
    <row r="36" spans="1:11" ht="18" customHeight="1">
      <c r="A36" s="286" t="s">
        <v>87</v>
      </c>
      <c r="B36" s="287"/>
      <c r="C36" s="287"/>
      <c r="D36" s="288"/>
      <c r="E36" s="258" t="str">
        <f>CHOOSE(W61,X61,X62,X63,X64,X65,X66,X67,X68,X69,X70,X71,X72,X73)</f>
        <v>felső, aknafejben, gépház nélkül</v>
      </c>
      <c r="F36" s="258"/>
      <c r="G36" s="258"/>
      <c r="H36" s="258"/>
      <c r="I36" s="258"/>
    </row>
    <row r="37" spans="1:11" ht="18" customHeight="1">
      <c r="A37" s="286" t="s">
        <v>35</v>
      </c>
      <c r="B37" s="287"/>
      <c r="C37" s="287"/>
      <c r="D37" s="288"/>
      <c r="E37" s="274">
        <v>150</v>
      </c>
      <c r="F37" s="274"/>
      <c r="G37" s="274"/>
      <c r="H37" s="274"/>
      <c r="I37" s="274"/>
    </row>
    <row r="38" spans="1:11" ht="18" customHeight="1">
      <c r="A38" s="286" t="s">
        <v>36</v>
      </c>
      <c r="B38" s="287"/>
      <c r="C38" s="287"/>
      <c r="D38" s="288"/>
      <c r="E38" s="275"/>
      <c r="F38" s="275"/>
      <c r="G38" s="275"/>
      <c r="H38" s="275"/>
      <c r="I38" s="275"/>
      <c r="J38" s="271" t="s">
        <v>83</v>
      </c>
    </row>
    <row r="39" spans="1:11" ht="18" customHeight="1">
      <c r="A39" s="286" t="s">
        <v>37</v>
      </c>
      <c r="B39" s="287"/>
      <c r="C39" s="287"/>
      <c r="D39" s="288"/>
      <c r="E39" s="275"/>
      <c r="F39" s="275"/>
      <c r="G39" s="275"/>
      <c r="H39" s="275"/>
      <c r="I39" s="275"/>
      <c r="J39" s="272"/>
    </row>
    <row r="40" spans="1:11" ht="18" customHeight="1">
      <c r="A40" s="282" t="s">
        <v>38</v>
      </c>
      <c r="B40" s="293"/>
      <c r="C40" s="293"/>
      <c r="D40" s="283"/>
      <c r="E40" s="275">
        <v>1</v>
      </c>
      <c r="F40" s="275"/>
      <c r="G40" s="275"/>
      <c r="H40" s="275"/>
      <c r="I40" s="275"/>
      <c r="J40" s="273"/>
    </row>
    <row r="41" spans="1:11" ht="18" customHeight="1">
      <c r="A41" s="282" t="s">
        <v>39</v>
      </c>
      <c r="B41" s="293"/>
      <c r="C41" s="293"/>
      <c r="D41" s="283"/>
      <c r="E41" s="296">
        <v>7.6</v>
      </c>
      <c r="F41" s="296"/>
      <c r="G41" s="296"/>
      <c r="H41" s="296"/>
      <c r="I41" s="296"/>
    </row>
    <row r="42" spans="1:11" ht="18" customHeight="1">
      <c r="A42" s="289" t="s">
        <v>40</v>
      </c>
      <c r="B42" s="290"/>
      <c r="C42" s="282" t="s">
        <v>41</v>
      </c>
      <c r="D42" s="283"/>
      <c r="E42" s="284">
        <v>11</v>
      </c>
      <c r="F42" s="284"/>
      <c r="G42" s="284"/>
      <c r="H42" s="284"/>
      <c r="I42" s="284"/>
    </row>
    <row r="43" spans="1:11" ht="18" customHeight="1">
      <c r="A43" s="291"/>
      <c r="B43" s="292"/>
      <c r="C43" s="282" t="s">
        <v>42</v>
      </c>
      <c r="D43" s="283"/>
      <c r="E43" s="284">
        <v>14.5</v>
      </c>
      <c r="F43" s="284"/>
      <c r="G43" s="284"/>
      <c r="H43" s="284"/>
      <c r="I43" s="284"/>
    </row>
    <row r="44" spans="1:11" ht="18" customHeight="1">
      <c r="A44" s="286" t="s">
        <v>43</v>
      </c>
      <c r="B44" s="287"/>
      <c r="C44" s="287"/>
      <c r="D44" s="288"/>
      <c r="E44" s="285" t="str">
        <f>IF(J53&lt;3,"személyszállítás",IF(J53=3,"személy- és teherszállítás","teherszállítás"))</f>
        <v>személyszállítás</v>
      </c>
      <c r="F44" s="285"/>
      <c r="G44" s="285"/>
      <c r="H44" s="285"/>
      <c r="I44" s="285"/>
    </row>
    <row r="45" spans="1:11" ht="18" customHeight="1">
      <c r="A45" s="276" t="s">
        <v>34</v>
      </c>
      <c r="B45" s="277"/>
      <c r="C45" s="277"/>
      <c r="D45" s="278"/>
      <c r="E45" s="258" t="str">
        <f>CHOOSE(A54,B54,B55,B56,B57,B58,B59,B60,B61,B62,B63,B64,B65,B66,B67,)</f>
        <v>Comfort (Life), GeNESIS</v>
      </c>
      <c r="F45" s="258"/>
      <c r="G45" s="258"/>
      <c r="H45" s="258"/>
      <c r="I45" s="258"/>
    </row>
    <row r="46" spans="1:11" ht="18" customHeight="1">
      <c r="A46" s="279"/>
      <c r="B46" s="280"/>
      <c r="C46" s="280"/>
      <c r="D46" s="281"/>
      <c r="E46" s="259" t="str">
        <f>CHOOSE(A54,D54,D55,D56,D57,D58,D59,D60,D61,D62,D63,D64,D65,D66,D67,)</f>
        <v>LRQA: 0088/0961143/058</v>
      </c>
      <c r="F46" s="259"/>
      <c r="G46" s="259"/>
      <c r="H46" s="259"/>
      <c r="I46" s="259"/>
    </row>
    <row r="47" spans="1:11" ht="18" customHeight="1">
      <c r="A47" s="262" t="s">
        <v>451</v>
      </c>
      <c r="B47" s="263"/>
      <c r="C47" s="263"/>
      <c r="D47" s="264"/>
      <c r="E47" s="258" t="str">
        <f>CHOOSE(A71,B71,B72,B73,B74,B75,B76,B77,B78,B79,B80,B81,B82,B83,B84,)</f>
        <v>Odonics Boglárka</v>
      </c>
      <c r="F47" s="258"/>
      <c r="G47" s="258"/>
      <c r="H47" s="258"/>
      <c r="I47" s="258"/>
      <c r="J47" s="260"/>
      <c r="K47" s="261"/>
    </row>
    <row r="48" spans="1:11" ht="18" customHeight="1">
      <c r="A48" s="265"/>
      <c r="B48" s="266"/>
      <c r="C48" s="266"/>
      <c r="D48" s="267"/>
      <c r="E48" s="259" t="str">
        <f>CHOOSE(A71,D71,D72,D73,D74)</f>
        <v>01-15611</v>
      </c>
      <c r="F48" s="259"/>
      <c r="G48" s="259"/>
      <c r="H48" s="259"/>
      <c r="I48" s="259"/>
    </row>
    <row r="49" spans="1:24" ht="18" customHeight="1">
      <c r="A49" s="265"/>
      <c r="B49" s="266"/>
      <c r="C49" s="266"/>
      <c r="D49" s="267"/>
      <c r="E49" s="259" t="str">
        <f>CHOOSE(A71,G71,G72,G73,G74)</f>
        <v>odonicsb@gmail.com</v>
      </c>
      <c r="F49" s="259"/>
      <c r="G49" s="259"/>
      <c r="H49" s="259"/>
      <c r="I49" s="259"/>
    </row>
    <row r="50" spans="1:24" ht="18" customHeight="1">
      <c r="A50" s="268"/>
      <c r="B50" s="269"/>
      <c r="C50" s="269"/>
      <c r="D50" s="270"/>
      <c r="E50" s="259" t="str">
        <f>CHOOSE(A71,E71,E72,E73,E74)</f>
        <v>06-20-578-8708</v>
      </c>
      <c r="F50" s="259"/>
      <c r="G50" s="259"/>
      <c r="H50" s="259"/>
      <c r="I50" s="259"/>
    </row>
    <row r="51" spans="1:24" ht="15.95" customHeight="1"/>
    <row r="52" spans="1:24">
      <c r="N52" s="3" t="s">
        <v>64</v>
      </c>
      <c r="O52" s="3" t="s">
        <v>65</v>
      </c>
    </row>
    <row r="53" spans="1:24">
      <c r="A53" s="227"/>
      <c r="B53" s="228" t="s">
        <v>34</v>
      </c>
      <c r="C53" s="228"/>
      <c r="D53" s="228" t="s">
        <v>434</v>
      </c>
      <c r="E53" s="228"/>
      <c r="F53" s="228"/>
      <c r="G53" s="229"/>
      <c r="J53">
        <v>1</v>
      </c>
      <c r="K53" t="s">
        <v>61</v>
      </c>
      <c r="M53">
        <v>11</v>
      </c>
      <c r="N53" s="5">
        <v>320</v>
      </c>
      <c r="O53" s="4">
        <v>4</v>
      </c>
      <c r="P53" s="6" t="s">
        <v>66</v>
      </c>
      <c r="Q53">
        <v>3</v>
      </c>
      <c r="R53">
        <v>5</v>
      </c>
      <c r="S53">
        <v>2</v>
      </c>
      <c r="T53" t="s">
        <v>69</v>
      </c>
      <c r="W53">
        <v>1</v>
      </c>
      <c r="X53" t="s">
        <v>126</v>
      </c>
    </row>
    <row r="54" spans="1:24" ht="15">
      <c r="A54" s="219">
        <v>1</v>
      </c>
      <c r="B54" s="220" t="s">
        <v>422</v>
      </c>
      <c r="C54" s="220"/>
      <c r="D54" s="221" t="s">
        <v>427</v>
      </c>
      <c r="E54" s="220"/>
      <c r="F54" s="220"/>
      <c r="G54" s="222"/>
      <c r="J54" t="str">
        <f>CHOOSE(J53,P53,P53,P54,P55,P55)</f>
        <v xml:space="preserve">= </v>
      </c>
      <c r="K54" t="s">
        <v>537</v>
      </c>
      <c r="N54" s="5">
        <v>400</v>
      </c>
      <c r="O54" s="4">
        <v>5</v>
      </c>
      <c r="P54" s="6" t="s">
        <v>67</v>
      </c>
      <c r="R54">
        <v>50</v>
      </c>
      <c r="T54" t="s">
        <v>70</v>
      </c>
      <c r="X54" t="s">
        <v>127</v>
      </c>
    </row>
    <row r="55" spans="1:24" ht="15">
      <c r="A55" s="219"/>
      <c r="B55" s="220" t="s">
        <v>468</v>
      </c>
      <c r="C55" s="220"/>
      <c r="D55" s="223" t="s">
        <v>428</v>
      </c>
      <c r="E55" s="220"/>
      <c r="F55" s="220"/>
      <c r="G55" s="222"/>
      <c r="K55" t="s">
        <v>62</v>
      </c>
      <c r="N55" s="5">
        <v>450</v>
      </c>
      <c r="O55" s="4">
        <v>6</v>
      </c>
      <c r="P55" s="6" t="s">
        <v>68</v>
      </c>
      <c r="R55">
        <v>100</v>
      </c>
      <c r="T55" t="s">
        <v>71</v>
      </c>
      <c r="X55" t="s">
        <v>131</v>
      </c>
    </row>
    <row r="56" spans="1:24" ht="15">
      <c r="A56" s="219"/>
      <c r="B56" s="220" t="s">
        <v>421</v>
      </c>
      <c r="C56" s="220"/>
      <c r="D56" s="221" t="s">
        <v>429</v>
      </c>
      <c r="E56" s="220"/>
      <c r="F56" s="220"/>
      <c r="G56" s="222"/>
      <c r="K56" t="s">
        <v>63</v>
      </c>
      <c r="N56" s="5">
        <v>480</v>
      </c>
      <c r="O56" s="4">
        <v>6</v>
      </c>
      <c r="P56" s="2"/>
      <c r="R56">
        <v>200</v>
      </c>
      <c r="T56" t="s">
        <v>72</v>
      </c>
    </row>
    <row r="57" spans="1:24" ht="15">
      <c r="A57" s="219"/>
      <c r="B57" s="220" t="s">
        <v>423</v>
      </c>
      <c r="C57" s="220"/>
      <c r="D57" s="223" t="s">
        <v>431</v>
      </c>
      <c r="E57" s="220"/>
      <c r="F57" s="220"/>
      <c r="G57" s="222"/>
      <c r="K57" t="s">
        <v>85</v>
      </c>
      <c r="N57" s="5">
        <v>550</v>
      </c>
      <c r="O57" s="4">
        <v>7</v>
      </c>
      <c r="P57" s="2"/>
      <c r="R57">
        <v>300</v>
      </c>
      <c r="T57" t="s">
        <v>73</v>
      </c>
    </row>
    <row r="58" spans="1:24" ht="15">
      <c r="A58" s="219"/>
      <c r="B58" s="220" t="s">
        <v>424</v>
      </c>
      <c r="C58" s="220"/>
      <c r="D58" s="223" t="s">
        <v>430</v>
      </c>
      <c r="E58" s="220"/>
      <c r="F58" s="220"/>
      <c r="G58" s="222"/>
      <c r="N58" s="5">
        <v>630</v>
      </c>
      <c r="O58" s="4">
        <v>8</v>
      </c>
      <c r="P58" s="2"/>
      <c r="T58" t="s">
        <v>74</v>
      </c>
    </row>
    <row r="59" spans="1:24" ht="15">
      <c r="A59" s="219"/>
      <c r="B59" s="220" t="s">
        <v>425</v>
      </c>
      <c r="C59" s="220"/>
      <c r="D59" s="223" t="s">
        <v>432</v>
      </c>
      <c r="E59" s="220"/>
      <c r="F59" s="220"/>
      <c r="G59" s="222"/>
      <c r="N59" s="5">
        <v>750</v>
      </c>
      <c r="O59" s="4">
        <v>9</v>
      </c>
      <c r="P59" s="2"/>
      <c r="T59" t="s">
        <v>132</v>
      </c>
    </row>
    <row r="60" spans="1:24" ht="15">
      <c r="A60" s="219"/>
      <c r="B60" s="220" t="s">
        <v>426</v>
      </c>
      <c r="C60" s="220"/>
      <c r="D60" s="223" t="s">
        <v>433</v>
      </c>
      <c r="E60" s="220"/>
      <c r="F60" s="220"/>
      <c r="G60" s="222"/>
      <c r="N60" s="5">
        <v>800</v>
      </c>
      <c r="O60" s="4">
        <v>10</v>
      </c>
      <c r="P60" s="2"/>
      <c r="T60" t="s">
        <v>133</v>
      </c>
    </row>
    <row r="61" spans="1:24">
      <c r="A61" s="219"/>
      <c r="B61" s="220" t="s">
        <v>99</v>
      </c>
      <c r="C61" s="220"/>
      <c r="D61" s="220" t="str">
        <f>""</f>
        <v/>
      </c>
      <c r="E61" s="220"/>
      <c r="F61" s="220"/>
      <c r="G61" s="222"/>
      <c r="N61" s="5">
        <v>850</v>
      </c>
      <c r="O61" s="4">
        <v>11</v>
      </c>
      <c r="P61" s="2"/>
      <c r="Q61">
        <v>2</v>
      </c>
      <c r="R61" t="s">
        <v>75</v>
      </c>
      <c r="T61">
        <v>2</v>
      </c>
      <c r="U61" t="s">
        <v>77</v>
      </c>
      <c r="W61">
        <v>1</v>
      </c>
      <c r="X61" t="s">
        <v>88</v>
      </c>
    </row>
    <row r="62" spans="1:24">
      <c r="A62" s="219"/>
      <c r="B62" s="220" t="s">
        <v>100</v>
      </c>
      <c r="C62" s="220"/>
      <c r="D62" s="220" t="str">
        <f>""</f>
        <v/>
      </c>
      <c r="E62" s="220"/>
      <c r="F62" s="220"/>
      <c r="G62" s="222"/>
      <c r="N62" s="5">
        <v>900</v>
      </c>
      <c r="O62" s="4">
        <v>12</v>
      </c>
      <c r="P62" s="2"/>
      <c r="R62" t="s">
        <v>76</v>
      </c>
      <c r="U62" t="s">
        <v>78</v>
      </c>
      <c r="X62" t="s">
        <v>90</v>
      </c>
    </row>
    <row r="63" spans="1:24">
      <c r="A63" s="219"/>
      <c r="B63" s="220" t="s">
        <v>101</v>
      </c>
      <c r="C63" s="220"/>
      <c r="D63" s="220" t="str">
        <f>""</f>
        <v/>
      </c>
      <c r="E63" s="220"/>
      <c r="F63" s="220"/>
      <c r="G63" s="222"/>
      <c r="N63" s="5">
        <v>1000</v>
      </c>
      <c r="O63" s="4">
        <v>13</v>
      </c>
      <c r="P63" s="2"/>
      <c r="U63" t="s">
        <v>79</v>
      </c>
      <c r="X63" t="s">
        <v>91</v>
      </c>
    </row>
    <row r="64" spans="1:24">
      <c r="A64" s="219"/>
      <c r="B64" s="220" t="s">
        <v>102</v>
      </c>
      <c r="C64" s="220"/>
      <c r="D64" s="220" t="str">
        <f>""</f>
        <v/>
      </c>
      <c r="E64" s="220"/>
      <c r="F64" s="220"/>
      <c r="G64" s="222"/>
      <c r="N64" s="5">
        <v>1020</v>
      </c>
      <c r="O64" s="4">
        <v>13</v>
      </c>
      <c r="P64" s="2"/>
      <c r="X64" t="s">
        <v>92</v>
      </c>
    </row>
    <row r="65" spans="1:24">
      <c r="A65" s="219"/>
      <c r="B65" s="220" t="s">
        <v>103</v>
      </c>
      <c r="C65" s="220"/>
      <c r="D65" s="220" t="str">
        <f>""</f>
        <v/>
      </c>
      <c r="E65" s="220"/>
      <c r="F65" s="220"/>
      <c r="G65" s="222"/>
      <c r="N65" s="5">
        <v>1100</v>
      </c>
      <c r="O65" s="4">
        <v>14</v>
      </c>
      <c r="P65" s="2"/>
      <c r="X65" t="s">
        <v>93</v>
      </c>
    </row>
    <row r="66" spans="1:24">
      <c r="A66" s="219"/>
      <c r="B66" s="220" t="s">
        <v>104</v>
      </c>
      <c r="C66" s="220"/>
      <c r="D66" s="220" t="str">
        <f>""</f>
        <v/>
      </c>
      <c r="E66" s="220"/>
      <c r="F66" s="220"/>
      <c r="G66" s="222"/>
      <c r="N66" s="5">
        <v>1150</v>
      </c>
      <c r="O66" s="4">
        <v>15</v>
      </c>
      <c r="P66" s="2"/>
      <c r="X66" t="s">
        <v>94</v>
      </c>
    </row>
    <row r="67" spans="1:24">
      <c r="A67" s="224"/>
      <c r="B67" s="225" t="s">
        <v>105</v>
      </c>
      <c r="C67" s="225"/>
      <c r="D67" s="225" t="str">
        <f>""</f>
        <v/>
      </c>
      <c r="E67" s="225"/>
      <c r="F67" s="225"/>
      <c r="G67" s="226"/>
      <c r="N67" s="5">
        <v>1250</v>
      </c>
      <c r="O67" s="4">
        <v>16</v>
      </c>
      <c r="P67" s="2"/>
      <c r="X67" t="s">
        <v>89</v>
      </c>
    </row>
    <row r="68" spans="1:24">
      <c r="N68" s="5">
        <v>1275</v>
      </c>
      <c r="O68" s="4">
        <v>17</v>
      </c>
      <c r="P68" s="2"/>
      <c r="X68" t="s">
        <v>95</v>
      </c>
    </row>
    <row r="69" spans="1:24">
      <c r="N69" s="5">
        <v>1300</v>
      </c>
      <c r="O69" s="4">
        <v>17</v>
      </c>
      <c r="P69" s="2"/>
      <c r="X69" t="s">
        <v>96</v>
      </c>
    </row>
    <row r="70" spans="1:24">
      <c r="A70" s="227"/>
      <c r="B70" s="228" t="s">
        <v>451</v>
      </c>
      <c r="C70" s="228"/>
      <c r="D70" s="228" t="s">
        <v>460</v>
      </c>
      <c r="E70" s="228" t="s">
        <v>465</v>
      </c>
      <c r="F70" s="228"/>
      <c r="G70" s="229" t="s">
        <v>463</v>
      </c>
      <c r="N70" s="5">
        <v>1350</v>
      </c>
      <c r="O70" s="4">
        <v>18</v>
      </c>
      <c r="P70" s="2"/>
      <c r="X70" t="s">
        <v>80</v>
      </c>
    </row>
    <row r="71" spans="1:24" ht="15">
      <c r="A71" s="219">
        <v>4</v>
      </c>
      <c r="B71" s="220" t="s">
        <v>447</v>
      </c>
      <c r="C71" s="220"/>
      <c r="D71" s="221" t="s">
        <v>459</v>
      </c>
      <c r="E71" s="220" t="s">
        <v>464</v>
      </c>
      <c r="F71" s="220"/>
      <c r="G71" s="239" t="s">
        <v>461</v>
      </c>
      <c r="N71" s="5">
        <v>1450</v>
      </c>
      <c r="O71" s="4">
        <v>19</v>
      </c>
      <c r="P71" s="2"/>
      <c r="Q71">
        <v>1</v>
      </c>
      <c r="R71" t="s">
        <v>109</v>
      </c>
      <c r="X71" t="s">
        <v>97</v>
      </c>
    </row>
    <row r="72" spans="1:24" ht="15">
      <c r="A72" s="219"/>
      <c r="B72" s="220" t="s">
        <v>454</v>
      </c>
      <c r="C72" s="220"/>
      <c r="D72" s="223" t="s">
        <v>455</v>
      </c>
      <c r="E72" s="220" t="s">
        <v>457</v>
      </c>
      <c r="F72" s="220"/>
      <c r="G72" s="239" t="s">
        <v>456</v>
      </c>
      <c r="N72" s="5">
        <v>1550</v>
      </c>
      <c r="O72" s="4">
        <v>20</v>
      </c>
      <c r="P72" s="2"/>
      <c r="R72" t="s">
        <v>110</v>
      </c>
      <c r="X72" t="s">
        <v>98</v>
      </c>
    </row>
    <row r="73" spans="1:24" ht="15">
      <c r="A73" s="224"/>
      <c r="B73" s="225" t="s">
        <v>458</v>
      </c>
      <c r="C73" s="225"/>
      <c r="D73" s="240"/>
      <c r="E73" s="225" t="s">
        <v>457</v>
      </c>
      <c r="F73" s="225"/>
      <c r="G73" s="241" t="s">
        <v>462</v>
      </c>
      <c r="N73" s="5">
        <v>1600</v>
      </c>
      <c r="O73" s="4">
        <v>21</v>
      </c>
      <c r="P73" s="2"/>
      <c r="R73" t="s">
        <v>111</v>
      </c>
      <c r="X73" t="s">
        <v>81</v>
      </c>
    </row>
    <row r="74" spans="1:24" ht="15">
      <c r="A74" s="220"/>
      <c r="B74" s="254" t="s">
        <v>524</v>
      </c>
      <c r="C74" s="220"/>
      <c r="D74" s="223" t="s">
        <v>525</v>
      </c>
      <c r="E74" s="254" t="s">
        <v>526</v>
      </c>
      <c r="F74" s="220"/>
      <c r="G74" s="255" t="s">
        <v>527</v>
      </c>
      <c r="N74" s="5">
        <v>1700</v>
      </c>
      <c r="O74" s="4">
        <v>22</v>
      </c>
      <c r="P74" s="2"/>
    </row>
    <row r="75" spans="1:24" ht="15">
      <c r="A75" s="220"/>
      <c r="B75" s="220"/>
      <c r="C75" s="220"/>
      <c r="D75" s="223"/>
      <c r="E75" s="220"/>
      <c r="F75" s="220"/>
      <c r="G75" s="220"/>
      <c r="N75" s="5">
        <v>1800</v>
      </c>
      <c r="O75" s="4">
        <v>23</v>
      </c>
      <c r="P75" s="2"/>
    </row>
    <row r="76" spans="1:24" ht="15">
      <c r="A76" s="220"/>
      <c r="B76" s="220"/>
      <c r="C76" s="220"/>
      <c r="D76" s="223"/>
      <c r="E76" s="220"/>
      <c r="F76" s="220"/>
      <c r="G76" s="220"/>
      <c r="N76" s="5">
        <v>1850</v>
      </c>
      <c r="O76" s="4">
        <v>24</v>
      </c>
      <c r="P76" s="2"/>
    </row>
    <row r="77" spans="1:24" ht="15">
      <c r="A77" s="220"/>
      <c r="B77" s="220"/>
      <c r="C77" s="220"/>
      <c r="D77" s="223"/>
      <c r="E77" s="220"/>
      <c r="F77" s="220"/>
      <c r="G77" s="220"/>
      <c r="N77" s="5">
        <v>1900</v>
      </c>
      <c r="O77" s="4">
        <v>25</v>
      </c>
      <c r="P77" s="2"/>
    </row>
    <row r="78" spans="1:24">
      <c r="A78" s="220"/>
      <c r="B78" s="220"/>
      <c r="C78" s="220"/>
      <c r="D78" s="220" t="str">
        <f>""</f>
        <v/>
      </c>
      <c r="E78" s="220"/>
      <c r="F78" s="220"/>
      <c r="G78" s="220"/>
      <c r="N78" s="5">
        <v>2000</v>
      </c>
      <c r="O78" s="4">
        <v>26</v>
      </c>
      <c r="P78" s="2"/>
    </row>
    <row r="79" spans="1:24">
      <c r="A79" s="220"/>
      <c r="B79" s="220"/>
      <c r="C79" s="220"/>
      <c r="D79" s="220" t="str">
        <f>""</f>
        <v/>
      </c>
      <c r="E79" s="220"/>
      <c r="F79" s="220"/>
      <c r="G79" s="220"/>
      <c r="N79" s="5">
        <v>2100</v>
      </c>
      <c r="O79" s="4">
        <v>27</v>
      </c>
      <c r="P79" s="2"/>
    </row>
    <row r="80" spans="1:24">
      <c r="A80" s="220"/>
      <c r="B80" s="220"/>
      <c r="C80" s="220"/>
      <c r="D80" s="220" t="str">
        <f>""</f>
        <v/>
      </c>
      <c r="E80" s="220"/>
      <c r="F80" s="220"/>
      <c r="G80" s="220"/>
      <c r="N80" s="5">
        <v>2150</v>
      </c>
      <c r="O80" s="4">
        <v>28</v>
      </c>
    </row>
    <row r="81" spans="1:15">
      <c r="A81" s="220"/>
      <c r="B81" s="220"/>
      <c r="C81" s="220"/>
      <c r="D81" s="220" t="str">
        <f>""</f>
        <v/>
      </c>
      <c r="E81" s="220"/>
      <c r="F81" s="220"/>
      <c r="G81" s="220"/>
      <c r="N81" s="5">
        <v>2200</v>
      </c>
      <c r="O81" s="4">
        <v>29</v>
      </c>
    </row>
    <row r="82" spans="1:15">
      <c r="A82" s="220"/>
      <c r="B82" s="220"/>
      <c r="C82" s="220"/>
      <c r="D82" s="220" t="str">
        <f>""</f>
        <v/>
      </c>
      <c r="E82" s="220"/>
      <c r="F82" s="220"/>
      <c r="G82" s="220"/>
      <c r="N82" s="5">
        <v>2300</v>
      </c>
      <c r="O82" s="4">
        <v>30</v>
      </c>
    </row>
    <row r="83" spans="1:15">
      <c r="A83" s="220"/>
      <c r="B83" s="220"/>
      <c r="C83" s="220"/>
      <c r="D83" s="220" t="str">
        <f>""</f>
        <v/>
      </c>
      <c r="E83" s="220"/>
      <c r="F83" s="220"/>
      <c r="G83" s="220"/>
    </row>
    <row r="84" spans="1:15">
      <c r="A84" s="220"/>
      <c r="B84" s="220"/>
      <c r="C84" s="220"/>
      <c r="D84" s="220" t="str">
        <f>""</f>
        <v/>
      </c>
      <c r="E84" s="220"/>
      <c r="F84" s="220"/>
      <c r="G84" s="220"/>
    </row>
  </sheetData>
  <mergeCells count="83">
    <mergeCell ref="E18:I18"/>
    <mergeCell ref="A1:I1"/>
    <mergeCell ref="E10:I10"/>
    <mergeCell ref="E11:I11"/>
    <mergeCell ref="E12:I12"/>
    <mergeCell ref="A10:D10"/>
    <mergeCell ref="A11:D11"/>
    <mergeCell ref="C12:D12"/>
    <mergeCell ref="E13:I13"/>
    <mergeCell ref="E14:I14"/>
    <mergeCell ref="E15:I15"/>
    <mergeCell ref="E16:I16"/>
    <mergeCell ref="E17:I17"/>
    <mergeCell ref="C14:D14"/>
    <mergeCell ref="A12:B14"/>
    <mergeCell ref="A15:D15"/>
    <mergeCell ref="E30:I30"/>
    <mergeCell ref="E19:I19"/>
    <mergeCell ref="E21:I21"/>
    <mergeCell ref="E20:I20"/>
    <mergeCell ref="E22:I22"/>
    <mergeCell ref="E23:I23"/>
    <mergeCell ref="E24:I24"/>
    <mergeCell ref="E25:I25"/>
    <mergeCell ref="E26:I26"/>
    <mergeCell ref="E27:I27"/>
    <mergeCell ref="E28:I28"/>
    <mergeCell ref="E29:I29"/>
    <mergeCell ref="E41:I41"/>
    <mergeCell ref="E31:I31"/>
    <mergeCell ref="E32:I32"/>
    <mergeCell ref="E33:I33"/>
    <mergeCell ref="E34:I34"/>
    <mergeCell ref="E35:I35"/>
    <mergeCell ref="E36:I36"/>
    <mergeCell ref="A16:D16"/>
    <mergeCell ref="A22:D22"/>
    <mergeCell ref="A17:B19"/>
    <mergeCell ref="A30:D30"/>
    <mergeCell ref="A23:D23"/>
    <mergeCell ref="A24:D24"/>
    <mergeCell ref="C17:D17"/>
    <mergeCell ref="C18:D18"/>
    <mergeCell ref="C19:D19"/>
    <mergeCell ref="A21:D21"/>
    <mergeCell ref="A20:D20"/>
    <mergeCell ref="A25:D25"/>
    <mergeCell ref="A26:D26"/>
    <mergeCell ref="A27:D27"/>
    <mergeCell ref="A28:D28"/>
    <mergeCell ref="A29:D29"/>
    <mergeCell ref="A41:D41"/>
    <mergeCell ref="C42:D42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40:D40"/>
    <mergeCell ref="A45:D46"/>
    <mergeCell ref="C43:D43"/>
    <mergeCell ref="E42:I42"/>
    <mergeCell ref="E43:I43"/>
    <mergeCell ref="E44:I44"/>
    <mergeCell ref="A44:D44"/>
    <mergeCell ref="A42:B43"/>
    <mergeCell ref="E45:I45"/>
    <mergeCell ref="E46:I46"/>
    <mergeCell ref="J38:J40"/>
    <mergeCell ref="E37:I37"/>
    <mergeCell ref="E38:I38"/>
    <mergeCell ref="E39:I39"/>
    <mergeCell ref="E40:I40"/>
    <mergeCell ref="E47:I47"/>
    <mergeCell ref="E48:I48"/>
    <mergeCell ref="J47:K47"/>
    <mergeCell ref="E49:I49"/>
    <mergeCell ref="A47:D50"/>
    <mergeCell ref="E50:I50"/>
  </mergeCells>
  <phoneticPr fontId="0" type="noConversion"/>
  <conditionalFormatting sqref="E27:I27">
    <cfRule type="expression" dxfId="9" priority="1" stopIfTrue="1">
      <formula>$J$53=5</formula>
    </cfRule>
    <cfRule type="expression" dxfId="8" priority="2" stopIfTrue="1">
      <formula>$J$53=4</formula>
    </cfRule>
  </conditionalFormatting>
  <conditionalFormatting sqref="E26:I26">
    <cfRule type="expression" dxfId="7" priority="3" stopIfTrue="1">
      <formula>$J$53=4</formula>
    </cfRule>
    <cfRule type="expression" dxfId="6" priority="4" stopIfTrue="1">
      <formula>$J$53=5</formula>
    </cfRule>
  </conditionalFormatting>
  <hyperlinks>
    <hyperlink ref="G71" r:id="rId1" xr:uid="{00000000-0004-0000-0000-000000000000}"/>
    <hyperlink ref="G72" r:id="rId2" xr:uid="{00000000-0004-0000-0000-000001000000}"/>
    <hyperlink ref="G73" r:id="rId3" xr:uid="{00000000-0004-0000-0000-000002000000}"/>
    <hyperlink ref="G74" r:id="rId4" xr:uid="{00000000-0004-0000-0000-000003000000}"/>
  </hyperlinks>
  <printOptions horizontalCentered="1" verticalCentered="1"/>
  <pageMargins left="0.23622047244094491" right="0.19685039370078741" top="0.27559055118110237" bottom="0.23622047244094491" header="0.19685039370078741" footer="0.19685039370078741"/>
  <pageSetup paperSize="9" orientation="portrait" blackAndWhite="1" r:id="rId5"/>
  <headerFooter alignWithMargins="0"/>
  <drawing r:id="rId6"/>
  <legacyDrawing r:id="rId7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r:id="rId8" name="Drop Down 5">
              <controlPr defaultSize="0" print="0" autoFill="0" autoLine="0" autoPict="0">
                <anchor moveWithCells="1">
                  <from>
                    <xdr:col>9</xdr:col>
                    <xdr:colOff>0</xdr:colOff>
                    <xdr:row>25</xdr:row>
                    <xdr:rowOff>9525</xdr:rowOff>
                  </from>
                  <to>
                    <xdr:col>11</xdr:col>
                    <xdr:colOff>333375</xdr:colOff>
                    <xdr:row>25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9" name="Drop Down 7">
              <controlPr defaultSize="0" print="0" autoLine="0" autoPict="0">
                <anchor moveWithCells="1">
                  <from>
                    <xdr:col>10</xdr:col>
                    <xdr:colOff>0</xdr:colOff>
                    <xdr:row>26</xdr:row>
                    <xdr:rowOff>19050</xdr:rowOff>
                  </from>
                  <to>
                    <xdr:col>10</xdr:col>
                    <xdr:colOff>600075</xdr:colOff>
                    <xdr:row>26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0" name="Drop Down 8">
              <controlPr defaultSize="0" print="0" autoLine="0" autoPict="0">
                <anchor moveWithCells="1">
                  <from>
                    <xdr:col>12</xdr:col>
                    <xdr:colOff>0</xdr:colOff>
                    <xdr:row>26</xdr:row>
                    <xdr:rowOff>19050</xdr:rowOff>
                  </from>
                  <to>
                    <xdr:col>12</xdr:col>
                    <xdr:colOff>476250</xdr:colOff>
                    <xdr:row>26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1" name="Drop Down 9">
              <controlPr defaultSize="0" print="0" autoFill="0" autoLine="0" autoPict="0">
                <anchor moveWithCells="1">
                  <from>
                    <xdr:col>9</xdr:col>
                    <xdr:colOff>0</xdr:colOff>
                    <xdr:row>28</xdr:row>
                    <xdr:rowOff>9525</xdr:rowOff>
                  </from>
                  <to>
                    <xdr:col>12</xdr:col>
                    <xdr:colOff>114300</xdr:colOff>
                    <xdr:row>28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2" name="Drop Down 10">
              <controlPr defaultSize="0" print="0" autoFill="0" autoLine="0" autoPict="0">
                <anchor moveWithCells="1">
                  <from>
                    <xdr:col>9</xdr:col>
                    <xdr:colOff>0</xdr:colOff>
                    <xdr:row>29</xdr:row>
                    <xdr:rowOff>9525</xdr:rowOff>
                  </from>
                  <to>
                    <xdr:col>13</xdr:col>
                    <xdr:colOff>85725</xdr:colOff>
                    <xdr:row>29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3" name="Drop Down 11">
              <controlPr defaultSize="0" print="0" autoFill="0" autoLine="0" autoPict="0">
                <anchor moveWithCells="1">
                  <from>
                    <xdr:col>9</xdr:col>
                    <xdr:colOff>0</xdr:colOff>
                    <xdr:row>33</xdr:row>
                    <xdr:rowOff>0</xdr:rowOff>
                  </from>
                  <to>
                    <xdr:col>10</xdr:col>
                    <xdr:colOff>276225</xdr:colOff>
                    <xdr:row>33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4" name="Drop Down 12">
              <controlPr defaultSize="0" print="0" autoFill="0" autoLine="0" autoPict="0">
                <anchor moveWithCells="1">
                  <from>
                    <xdr:col>9</xdr:col>
                    <xdr:colOff>0</xdr:colOff>
                    <xdr:row>34</xdr:row>
                    <xdr:rowOff>0</xdr:rowOff>
                  </from>
                  <to>
                    <xdr:col>11</xdr:col>
                    <xdr:colOff>133350</xdr:colOff>
                    <xdr:row>34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5" name="Drop Down 13">
              <controlPr defaultSize="0" print="0" autoFill="0" autoLine="0" autoPict="0">
                <anchor moveWithCells="1">
                  <from>
                    <xdr:col>9</xdr:col>
                    <xdr:colOff>0</xdr:colOff>
                    <xdr:row>35</xdr:row>
                    <xdr:rowOff>0</xdr:rowOff>
                  </from>
                  <to>
                    <xdr:col>13</xdr:col>
                    <xdr:colOff>209550</xdr:colOff>
                    <xdr:row>35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16" name="Drop Down 22">
              <controlPr defaultSize="0" print="0" autoLine="0" autoPict="0">
                <anchor moveWithCells="1">
                  <from>
                    <xdr:col>9</xdr:col>
                    <xdr:colOff>9525</xdr:colOff>
                    <xdr:row>44</xdr:row>
                    <xdr:rowOff>0</xdr:rowOff>
                  </from>
                  <to>
                    <xdr:col>12</xdr:col>
                    <xdr:colOff>266700</xdr:colOff>
                    <xdr:row>44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7" name="Spinner 24">
              <controlPr defaultSize="0" print="0" autoPict="0">
                <anchor moveWithCells="1" sizeWithCells="1">
                  <from>
                    <xdr:col>15</xdr:col>
                    <xdr:colOff>9525</xdr:colOff>
                    <xdr:row>25</xdr:row>
                    <xdr:rowOff>190500</xdr:rowOff>
                  </from>
                  <to>
                    <xdr:col>15</xdr:col>
                    <xdr:colOff>266700</xdr:colOff>
                    <xdr:row>27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18" name="Drop Down 28">
              <controlPr defaultSize="0" print="0" autoLine="0" autoPict="0">
                <anchor moveWithCells="1">
                  <from>
                    <xdr:col>9</xdr:col>
                    <xdr:colOff>9525</xdr:colOff>
                    <xdr:row>46</xdr:row>
                    <xdr:rowOff>0</xdr:rowOff>
                  </from>
                  <to>
                    <xdr:col>12</xdr:col>
                    <xdr:colOff>266700</xdr:colOff>
                    <xdr:row>46</xdr:row>
                    <xdr:rowOff>219075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130"/>
  <sheetViews>
    <sheetView view="pageBreakPreview" topLeftCell="A70" zoomScaleNormal="100" zoomScaleSheetLayoutView="100" workbookViewId="0">
      <selection activeCell="A100" sqref="A100:G100"/>
    </sheetView>
  </sheetViews>
  <sheetFormatPr defaultRowHeight="12.75"/>
  <cols>
    <col min="1" max="1" width="24.7109375" customWidth="1"/>
    <col min="3" max="3" width="11.42578125" customWidth="1"/>
    <col min="5" max="5" width="18.85546875" customWidth="1"/>
    <col min="7" max="7" width="6.140625" customWidth="1"/>
  </cols>
  <sheetData>
    <row r="1" spans="2:5" ht="10.35" customHeight="1">
      <c r="B1" s="22" t="s">
        <v>113</v>
      </c>
      <c r="E1" s="21"/>
    </row>
    <row r="2" spans="2:5" ht="10.35" customHeight="1">
      <c r="B2" s="22" t="s">
        <v>415</v>
      </c>
    </row>
    <row r="3" spans="2:5" ht="10.35" customHeight="1">
      <c r="B3" s="22" t="s">
        <v>416</v>
      </c>
    </row>
    <row r="4" spans="2:5" ht="10.35" customHeight="1">
      <c r="B4" s="22" t="s">
        <v>114</v>
      </c>
    </row>
    <row r="5" spans="2:5" ht="10.35" customHeight="1">
      <c r="B5" s="22" t="s">
        <v>115</v>
      </c>
    </row>
    <row r="6" spans="2:5" ht="10.35" customHeight="1">
      <c r="B6" s="22" t="s">
        <v>116</v>
      </c>
    </row>
    <row r="18" spans="2:6" ht="23.25">
      <c r="B18" s="18" t="s">
        <v>130</v>
      </c>
      <c r="C18" s="18"/>
      <c r="E18" s="18"/>
      <c r="F18" s="18"/>
    </row>
    <row r="20" spans="2:6" ht="23.25">
      <c r="B20" s="18" t="s">
        <v>44</v>
      </c>
    </row>
    <row r="24" spans="2:6" ht="15.6" customHeight="1">
      <c r="B24" s="317" t="str">
        <f>ADATLAP!E19</f>
        <v>Társasház   - L2 felvonó</v>
      </c>
      <c r="C24" s="317"/>
      <c r="D24" s="317"/>
      <c r="E24" s="317"/>
      <c r="F24" s="317"/>
    </row>
    <row r="25" spans="2:6" ht="15.6" customHeight="1">
      <c r="B25" s="317"/>
      <c r="C25" s="317"/>
      <c r="D25" s="317"/>
      <c r="E25" s="317"/>
      <c r="F25" s="317"/>
    </row>
    <row r="26" spans="2:6" ht="15.75" customHeight="1"/>
    <row r="27" spans="2:6" ht="15" customHeight="1">
      <c r="B27" s="319" t="str">
        <f>ADATLAP!E17&amp;" Hrsz.:"&amp;ADATLAP!E18</f>
        <v>1076 Budapest, VII. ker. Verseny utca 22-24. Hrsz.:32934</v>
      </c>
      <c r="C27" s="319"/>
      <c r="D27" s="319"/>
      <c r="E27" s="319"/>
      <c r="F27" s="319"/>
    </row>
    <row r="28" spans="2:6" ht="15" customHeight="1">
      <c r="B28" s="319"/>
      <c r="C28" s="319"/>
      <c r="D28" s="319"/>
      <c r="E28" s="319"/>
      <c r="F28" s="319"/>
    </row>
    <row r="29" spans="2:6">
      <c r="B29" s="319"/>
      <c r="C29" s="319"/>
      <c r="D29" s="319"/>
      <c r="E29" s="319"/>
      <c r="F29" s="319"/>
    </row>
    <row r="32" spans="2:6" ht="15.75">
      <c r="B32" s="19" t="str">
        <f>ADATLAP!E25</f>
        <v>E-NP3756-00-000-0</v>
      </c>
      <c r="C32" s="19"/>
      <c r="E32" s="19"/>
    </row>
    <row r="50" spans="1:9" ht="15">
      <c r="B50" s="8"/>
    </row>
    <row r="51" spans="1:9" ht="15">
      <c r="B51" s="20" t="str">
        <f>"Budapest, "&amp;ADATLAP!E23</f>
        <v>Budapest, 2021.08.19</v>
      </c>
      <c r="C51" s="20"/>
      <c r="E51" s="20"/>
      <c r="F51" s="20"/>
    </row>
    <row r="61" spans="1:9" ht="15.75">
      <c r="A61" s="23" t="s">
        <v>117</v>
      </c>
      <c r="B61" s="24"/>
      <c r="C61" s="24"/>
      <c r="D61" s="24"/>
      <c r="E61" s="24"/>
      <c r="F61" s="24"/>
      <c r="G61" s="24"/>
      <c r="H61" s="24"/>
      <c r="I61" s="24"/>
    </row>
    <row r="62" spans="1:9" ht="14.25">
      <c r="A62" s="25"/>
      <c r="B62" s="24"/>
      <c r="C62" s="24"/>
      <c r="D62" s="24"/>
      <c r="E62" s="24"/>
      <c r="F62" s="24"/>
      <c r="G62" s="24"/>
      <c r="H62" s="24"/>
      <c r="I62" s="24"/>
    </row>
    <row r="63" spans="1:9" ht="14.25">
      <c r="A63" s="25"/>
      <c r="B63" s="24"/>
      <c r="C63" s="24"/>
      <c r="D63" s="24"/>
      <c r="E63" s="24"/>
      <c r="F63" s="24"/>
      <c r="G63" s="24"/>
      <c r="H63" s="24"/>
      <c r="I63" s="24"/>
    </row>
    <row r="64" spans="1:9">
      <c r="A64" s="24"/>
      <c r="B64" s="24"/>
      <c r="C64" s="24"/>
      <c r="D64" s="24"/>
      <c r="E64" s="24"/>
      <c r="F64" s="24"/>
      <c r="G64" s="24"/>
      <c r="H64" s="24"/>
      <c r="I64" s="24"/>
    </row>
    <row r="65" spans="1:9">
      <c r="A65" s="24"/>
      <c r="B65" s="24"/>
      <c r="C65" s="24"/>
      <c r="D65" s="24"/>
      <c r="E65" s="24"/>
      <c r="F65" s="24"/>
      <c r="G65" s="24"/>
      <c r="H65" s="24"/>
      <c r="I65" s="24"/>
    </row>
    <row r="67" spans="1:9" ht="23.25">
      <c r="A67" s="318" t="s">
        <v>118</v>
      </c>
      <c r="B67" s="318"/>
      <c r="C67" s="318"/>
      <c r="D67" s="318"/>
      <c r="E67" s="318"/>
      <c r="F67" s="318"/>
      <c r="G67" s="204"/>
      <c r="H67" s="204"/>
      <c r="I67" s="204"/>
    </row>
    <row r="68" spans="1:9" ht="15">
      <c r="A68" s="24"/>
      <c r="B68" s="35"/>
      <c r="C68" s="24"/>
      <c r="D68" s="35"/>
      <c r="E68" s="35"/>
      <c r="F68" s="35"/>
      <c r="G68" s="35"/>
      <c r="H68" s="35"/>
      <c r="I68" s="35"/>
    </row>
    <row r="69" spans="1:9" ht="15">
      <c r="A69" s="24"/>
      <c r="B69" s="35"/>
      <c r="C69" s="24"/>
      <c r="D69" s="35"/>
      <c r="E69" s="35"/>
      <c r="F69" s="35"/>
      <c r="G69" s="35"/>
      <c r="H69" s="35"/>
      <c r="I69" s="35"/>
    </row>
    <row r="70" spans="1:9" ht="15">
      <c r="A70" s="24"/>
      <c r="B70" s="35" t="s">
        <v>528</v>
      </c>
      <c r="D70" s="35"/>
      <c r="E70" s="35"/>
      <c r="F70" s="35"/>
      <c r="G70" s="35"/>
      <c r="H70" s="35"/>
      <c r="I70" s="35"/>
    </row>
    <row r="71" spans="1:9" ht="15">
      <c r="A71" s="24"/>
      <c r="D71" s="35"/>
      <c r="E71" s="35"/>
      <c r="F71" s="35"/>
      <c r="G71" s="35"/>
      <c r="H71" s="35"/>
      <c r="I71" s="35"/>
    </row>
    <row r="72" spans="1:9" ht="15">
      <c r="A72" s="24"/>
      <c r="B72" s="35" t="s">
        <v>436</v>
      </c>
      <c r="D72" s="35"/>
      <c r="E72" s="35"/>
      <c r="F72" s="35"/>
      <c r="G72" s="35"/>
      <c r="H72" s="35"/>
      <c r="I72" s="35"/>
    </row>
    <row r="73" spans="1:9" ht="15">
      <c r="A73" s="24"/>
      <c r="B73" s="35"/>
      <c r="D73" s="35"/>
      <c r="E73" s="35"/>
      <c r="F73" s="35"/>
      <c r="G73" s="35"/>
      <c r="H73" s="35"/>
      <c r="I73" s="35"/>
    </row>
    <row r="74" spans="1:9" ht="15">
      <c r="A74" s="24"/>
      <c r="B74" s="35" t="s">
        <v>119</v>
      </c>
      <c r="D74" s="35"/>
      <c r="E74" s="35"/>
      <c r="F74" s="35"/>
      <c r="G74" s="35"/>
      <c r="H74" s="35"/>
      <c r="I74" s="35"/>
    </row>
    <row r="75" spans="1:9" ht="15">
      <c r="A75" s="24"/>
      <c r="B75" s="35"/>
      <c r="D75" s="35"/>
      <c r="E75" s="35"/>
      <c r="F75" s="35"/>
      <c r="G75" s="35"/>
      <c r="H75" s="35"/>
      <c r="I75" s="35"/>
    </row>
    <row r="76" spans="1:9" ht="15">
      <c r="A76" s="24"/>
      <c r="B76" s="35" t="s">
        <v>120</v>
      </c>
      <c r="D76" s="35"/>
      <c r="E76" s="35"/>
      <c r="F76" s="35"/>
      <c r="G76" s="35"/>
      <c r="H76" s="35"/>
      <c r="I76" s="35"/>
    </row>
    <row r="77" spans="1:9" ht="15">
      <c r="A77" s="36"/>
      <c r="B77" s="35"/>
      <c r="D77" s="36"/>
      <c r="E77" s="36"/>
      <c r="F77" s="36"/>
      <c r="G77" s="36"/>
      <c r="H77" s="36"/>
      <c r="I77" s="36"/>
    </row>
    <row r="78" spans="1:9" ht="15">
      <c r="A78" s="36"/>
      <c r="B78" s="35" t="s">
        <v>121</v>
      </c>
      <c r="D78" s="36"/>
      <c r="E78" s="36"/>
      <c r="F78" s="36"/>
      <c r="G78" s="36"/>
      <c r="H78" s="36"/>
      <c r="I78" s="36"/>
    </row>
    <row r="79" spans="1:9">
      <c r="A79" s="36"/>
      <c r="B79" s="36"/>
      <c r="C79" s="36"/>
      <c r="D79" s="36"/>
      <c r="E79" s="36"/>
      <c r="F79" s="36"/>
      <c r="G79" s="36"/>
      <c r="H79" s="36"/>
      <c r="I79" s="36"/>
    </row>
    <row r="80" spans="1:9">
      <c r="A80" s="36"/>
      <c r="B80" s="36"/>
      <c r="C80" s="36"/>
      <c r="D80" s="36"/>
      <c r="E80" s="36"/>
      <c r="F80" s="36"/>
      <c r="G80" s="36"/>
      <c r="H80" s="36"/>
      <c r="I80" s="36"/>
    </row>
    <row r="81" spans="1:9">
      <c r="A81" s="36"/>
      <c r="B81" s="36"/>
      <c r="C81" s="36"/>
      <c r="D81" s="36"/>
      <c r="E81" s="36"/>
      <c r="F81" s="36"/>
      <c r="G81" s="36"/>
      <c r="H81" s="36"/>
      <c r="I81" s="36"/>
    </row>
    <row r="83" spans="1:9" ht="15.75">
      <c r="A83" s="23" t="s">
        <v>117</v>
      </c>
      <c r="B83" s="24"/>
      <c r="C83" s="24"/>
      <c r="D83" s="24"/>
      <c r="E83" s="24"/>
      <c r="F83" s="24"/>
      <c r="G83" s="24"/>
      <c r="H83" s="24"/>
      <c r="I83" s="24"/>
    </row>
    <row r="84" spans="1:9" ht="23.25">
      <c r="A84" s="318" t="s">
        <v>529</v>
      </c>
      <c r="B84" s="318"/>
      <c r="C84" s="318"/>
      <c r="D84" s="318"/>
      <c r="E84" s="318"/>
      <c r="F84" s="318"/>
      <c r="G84" s="208"/>
      <c r="H84" s="208"/>
      <c r="I84" s="208"/>
    </row>
    <row r="85" spans="1:9" ht="15.75">
      <c r="A85" s="41" t="s">
        <v>129</v>
      </c>
      <c r="B85" s="43" t="str">
        <f>ADATLAP!E47</f>
        <v>Odonics Boglárka</v>
      </c>
      <c r="D85" s="44"/>
      <c r="E85" s="42"/>
      <c r="F85" s="42"/>
      <c r="G85" s="42"/>
      <c r="H85" s="42"/>
      <c r="I85" s="42"/>
    </row>
    <row r="86" spans="1:9" ht="15.75">
      <c r="A86" s="41"/>
      <c r="B86" s="43" t="s">
        <v>530</v>
      </c>
      <c r="D86" s="44"/>
      <c r="E86" s="45"/>
      <c r="F86" s="42"/>
      <c r="G86" s="42"/>
      <c r="H86" s="42"/>
      <c r="I86" s="42"/>
    </row>
    <row r="87" spans="1:9" ht="15.75">
      <c r="A87" s="41" t="s">
        <v>136</v>
      </c>
      <c r="B87" s="43"/>
      <c r="C87" s="43"/>
      <c r="D87" s="44"/>
      <c r="E87" s="46"/>
      <c r="F87" s="45"/>
      <c r="G87" s="45"/>
      <c r="H87" s="45"/>
      <c r="I87" s="45"/>
    </row>
    <row r="88" spans="1:9" ht="15.75">
      <c r="A88" s="41"/>
      <c r="B88" s="46" t="s">
        <v>411</v>
      </c>
      <c r="C88" s="43" t="str">
        <f>ADATLAP!E48</f>
        <v>01-15611</v>
      </c>
      <c r="D88" s="44"/>
      <c r="E88" s="44"/>
      <c r="F88" s="45"/>
      <c r="G88" s="45"/>
      <c r="H88" s="45"/>
      <c r="I88" s="45"/>
    </row>
    <row r="89" spans="1:9" ht="15" customHeight="1">
      <c r="A89" s="41" t="s">
        <v>134</v>
      </c>
      <c r="B89" s="324" t="str">
        <f>ADATLAP!E19</f>
        <v>Társasház   - L2 felvonó</v>
      </c>
      <c r="C89" s="324"/>
      <c r="D89" s="324"/>
      <c r="E89" s="324"/>
      <c r="F89" s="324"/>
      <c r="G89" s="324"/>
      <c r="H89" s="205"/>
      <c r="I89" s="205"/>
    </row>
    <row r="90" spans="1:9" ht="4.5" customHeight="1">
      <c r="A90" s="41"/>
      <c r="B90" s="324"/>
      <c r="C90" s="324"/>
      <c r="D90" s="324"/>
      <c r="E90" s="324"/>
      <c r="F90" s="324"/>
      <c r="G90" s="324"/>
      <c r="H90" s="205"/>
      <c r="I90" s="205"/>
    </row>
    <row r="91" spans="1:9" ht="15.75">
      <c r="A91" s="41"/>
      <c r="B91" s="324" t="str">
        <f>ADATLAP!E17&amp;" Hrsz.:"&amp;ADATLAP!E18</f>
        <v>1076 Budapest, VII. ker. Verseny utca 22-24. Hrsz.:32934</v>
      </c>
      <c r="C91" s="324"/>
      <c r="D91" s="324"/>
      <c r="E91" s="324"/>
      <c r="F91" s="324"/>
      <c r="G91" s="324"/>
      <c r="H91" s="205"/>
      <c r="I91" s="205"/>
    </row>
    <row r="92" spans="1:9" ht="15.75">
      <c r="A92" s="41" t="s">
        <v>135</v>
      </c>
      <c r="B92" s="43" t="str">
        <f>ADATLAP!E25</f>
        <v>E-NP3756-00-000-0</v>
      </c>
      <c r="D92" s="45"/>
      <c r="E92" s="45"/>
      <c r="F92" s="47"/>
      <c r="G92" s="47"/>
      <c r="H92" s="45"/>
      <c r="I92" s="45"/>
    </row>
    <row r="93" spans="1:9" ht="15.75" customHeight="1">
      <c r="A93" s="41" t="s">
        <v>128</v>
      </c>
      <c r="B93" s="324" t="str">
        <f>ADATLAP!E20</f>
        <v>Budapest Főváros VII. ker. Erzsébetváros Önkormányzata</v>
      </c>
      <c r="C93" s="324"/>
      <c r="D93" s="324"/>
      <c r="E93" s="324"/>
      <c r="F93" s="324"/>
      <c r="G93" s="324"/>
      <c r="H93" s="45"/>
      <c r="I93" s="45"/>
    </row>
    <row r="94" spans="1:9" ht="6" customHeight="1">
      <c r="A94" s="41"/>
      <c r="B94" s="324"/>
      <c r="C94" s="324"/>
      <c r="D94" s="324"/>
      <c r="E94" s="324"/>
      <c r="F94" s="324"/>
      <c r="G94" s="324"/>
      <c r="H94" s="45"/>
      <c r="I94" s="45"/>
    </row>
    <row r="95" spans="1:9" ht="15.75">
      <c r="A95" s="41"/>
      <c r="B95" s="43"/>
      <c r="D95" s="45"/>
      <c r="E95" s="45"/>
      <c r="F95" s="48"/>
      <c r="G95" s="48"/>
      <c r="H95" s="45"/>
      <c r="I95" s="45"/>
    </row>
    <row r="96" spans="1:9" ht="57.75" customHeight="1">
      <c r="A96" s="325" t="s">
        <v>417</v>
      </c>
      <c r="B96" s="325"/>
      <c r="C96" s="325"/>
      <c r="D96" s="325"/>
      <c r="E96" s="325"/>
      <c r="F96" s="325"/>
      <c r="G96" s="325"/>
      <c r="H96" s="326" t="s">
        <v>435</v>
      </c>
      <c r="I96" s="326"/>
    </row>
    <row r="97" spans="1:22" ht="6" customHeight="1">
      <c r="A97" s="212"/>
      <c r="B97" s="212"/>
      <c r="C97" s="212"/>
      <c r="D97" s="212"/>
      <c r="E97" s="212"/>
      <c r="F97" s="212"/>
      <c r="G97" s="212"/>
      <c r="H97" s="207"/>
      <c r="I97" s="207"/>
    </row>
    <row r="98" spans="1:22" ht="12" customHeight="1">
      <c r="A98" s="322" t="s">
        <v>139</v>
      </c>
      <c r="B98" s="322"/>
      <c r="C98" s="322"/>
      <c r="D98" s="322"/>
      <c r="E98" s="322"/>
      <c r="F98" s="322"/>
      <c r="G98" s="322"/>
      <c r="H98" s="207"/>
      <c r="I98" s="207"/>
    </row>
    <row r="99" spans="1:22" ht="12" customHeight="1">
      <c r="A99" s="322" t="s">
        <v>138</v>
      </c>
      <c r="B99" s="322"/>
      <c r="C99" s="322"/>
      <c r="D99" s="322"/>
      <c r="E99" s="322"/>
      <c r="F99" s="322"/>
      <c r="G99" s="322"/>
      <c r="H99" s="207"/>
    </row>
    <row r="100" spans="1:22" ht="24" customHeight="1">
      <c r="A100" s="322" t="s">
        <v>137</v>
      </c>
      <c r="B100" s="322"/>
      <c r="C100" s="322"/>
      <c r="D100" s="322"/>
      <c r="E100" s="322"/>
      <c r="F100" s="322"/>
      <c r="G100" s="322"/>
      <c r="H100" s="206"/>
      <c r="I100" s="51"/>
    </row>
    <row r="101" spans="1:22" ht="24" customHeight="1">
      <c r="A101" s="322" t="s">
        <v>414</v>
      </c>
      <c r="B101" s="322"/>
      <c r="C101" s="322"/>
      <c r="D101" s="322"/>
      <c r="E101" s="322"/>
      <c r="F101" s="322"/>
      <c r="G101" s="322"/>
      <c r="H101" s="207"/>
      <c r="I101" s="51"/>
    </row>
    <row r="102" spans="1:22" ht="12" hidden="1" customHeight="1">
      <c r="A102" s="322" t="s">
        <v>144</v>
      </c>
      <c r="B102" s="322"/>
      <c r="C102" s="322"/>
      <c r="D102" s="322"/>
      <c r="E102" s="322"/>
      <c r="F102" s="322"/>
      <c r="G102" s="322"/>
      <c r="H102" s="207"/>
      <c r="I102" s="51"/>
    </row>
    <row r="103" spans="1:22" ht="12" customHeight="1">
      <c r="A103" s="322" t="s">
        <v>140</v>
      </c>
      <c r="B103" s="322"/>
      <c r="C103" s="322"/>
      <c r="D103" s="322"/>
      <c r="E103" s="322"/>
      <c r="F103" s="322"/>
      <c r="G103" s="322"/>
      <c r="H103" s="207"/>
      <c r="I103" s="25"/>
    </row>
    <row r="104" spans="1:22" ht="24" hidden="1" customHeight="1">
      <c r="A104" s="322" t="s">
        <v>145</v>
      </c>
      <c r="B104" s="322"/>
      <c r="C104" s="322"/>
      <c r="D104" s="322"/>
      <c r="E104" s="322"/>
      <c r="F104" s="322"/>
      <c r="G104" s="322"/>
      <c r="H104" s="207"/>
      <c r="I104" s="25"/>
    </row>
    <row r="105" spans="1:22" ht="23.25" customHeight="1">
      <c r="A105" s="322" t="s">
        <v>531</v>
      </c>
      <c r="B105" s="322"/>
      <c r="C105" s="322"/>
      <c r="D105" s="322"/>
      <c r="E105" s="322"/>
      <c r="F105" s="322"/>
      <c r="G105" s="322"/>
      <c r="H105" s="207"/>
    </row>
    <row r="106" spans="1:22" ht="24.75" hidden="1" customHeight="1">
      <c r="A106" s="322" t="s">
        <v>146</v>
      </c>
      <c r="B106" s="322"/>
      <c r="C106" s="322"/>
      <c r="D106" s="322"/>
      <c r="E106" s="322"/>
      <c r="F106" s="322"/>
      <c r="G106" s="322"/>
      <c r="H106" s="207"/>
      <c r="I106" s="51"/>
    </row>
    <row r="107" spans="1:22" ht="24" customHeight="1">
      <c r="A107" s="322" t="s">
        <v>532</v>
      </c>
      <c r="B107" s="322"/>
      <c r="C107" s="322"/>
      <c r="D107" s="322"/>
      <c r="E107" s="322"/>
      <c r="F107" s="322"/>
      <c r="G107" s="322"/>
      <c r="H107" s="207"/>
      <c r="I107" s="207"/>
    </row>
    <row r="108" spans="1:22" ht="25.5" customHeight="1">
      <c r="A108" s="322" t="s">
        <v>533</v>
      </c>
      <c r="B108" s="322"/>
      <c r="C108" s="322"/>
      <c r="D108" s="322"/>
      <c r="E108" s="322"/>
      <c r="F108" s="322"/>
      <c r="G108" s="322"/>
      <c r="H108" s="207"/>
      <c r="I108" s="210"/>
    </row>
    <row r="109" spans="1:22" ht="25.5" hidden="1" customHeight="1">
      <c r="A109" s="322" t="s">
        <v>147</v>
      </c>
      <c r="B109" s="322"/>
      <c r="C109" s="322"/>
      <c r="D109" s="322"/>
      <c r="E109" s="322"/>
      <c r="F109" s="322"/>
      <c r="G109" s="322"/>
      <c r="H109" s="207"/>
      <c r="I109" s="207"/>
    </row>
    <row r="110" spans="1:22" ht="25.5" hidden="1" customHeight="1">
      <c r="A110" s="322" t="s">
        <v>148</v>
      </c>
      <c r="B110" s="322"/>
      <c r="C110" s="322"/>
      <c r="D110" s="322"/>
      <c r="E110" s="322"/>
      <c r="F110" s="322"/>
      <c r="G110" s="322"/>
      <c r="H110" s="207"/>
      <c r="I110" s="207"/>
    </row>
    <row r="111" spans="1:22" ht="21" customHeight="1">
      <c r="A111" s="322" t="s">
        <v>534</v>
      </c>
      <c r="B111" s="322"/>
      <c r="C111" s="322"/>
      <c r="D111" s="322"/>
      <c r="E111" s="322"/>
      <c r="F111" s="322"/>
      <c r="G111" s="322"/>
      <c r="H111" s="207"/>
      <c r="I111" s="207"/>
      <c r="P111" s="320"/>
      <c r="Q111" s="320"/>
      <c r="R111" s="320"/>
      <c r="S111" s="320"/>
      <c r="T111" s="320"/>
      <c r="U111" s="320"/>
      <c r="V111" s="320"/>
    </row>
    <row r="112" spans="1:22" ht="12" customHeight="1">
      <c r="A112" s="322" t="s">
        <v>141</v>
      </c>
      <c r="B112" s="322"/>
      <c r="C112" s="322"/>
      <c r="D112" s="322"/>
      <c r="E112" s="322"/>
      <c r="F112" s="322"/>
      <c r="G112" s="322"/>
      <c r="H112" s="207"/>
      <c r="I112" s="207"/>
      <c r="P112" s="321"/>
      <c r="Q112" s="321"/>
      <c r="R112" s="321"/>
      <c r="S112" s="321"/>
      <c r="T112" s="321"/>
      <c r="U112" s="321"/>
      <c r="V112" s="321"/>
    </row>
    <row r="113" spans="1:22" ht="12" customHeight="1">
      <c r="A113" s="322" t="s">
        <v>142</v>
      </c>
      <c r="B113" s="322"/>
      <c r="C113" s="322"/>
      <c r="D113" s="322"/>
      <c r="E113" s="322"/>
      <c r="F113" s="322"/>
      <c r="G113" s="322"/>
      <c r="H113" s="211"/>
      <c r="I113" s="211"/>
      <c r="P113" s="321"/>
      <c r="Q113" s="321"/>
      <c r="R113" s="321"/>
      <c r="S113" s="321"/>
      <c r="T113" s="321"/>
      <c r="U113" s="321"/>
      <c r="V113" s="321"/>
    </row>
    <row r="114" spans="1:22" ht="6" customHeight="1">
      <c r="A114" s="49"/>
      <c r="B114" s="206"/>
      <c r="C114" s="206"/>
      <c r="D114" s="206"/>
      <c r="E114" s="206"/>
      <c r="F114" s="206"/>
      <c r="G114" s="206"/>
      <c r="H114" s="211"/>
      <c r="P114" s="321"/>
      <c r="Q114" s="321"/>
      <c r="R114" s="321"/>
      <c r="S114" s="321"/>
      <c r="T114" s="321"/>
      <c r="U114" s="321"/>
      <c r="V114" s="321"/>
    </row>
    <row r="115" spans="1:22" ht="16.5" customHeight="1">
      <c r="A115" s="213" t="s">
        <v>418</v>
      </c>
      <c r="B115" s="213"/>
      <c r="C115" s="213"/>
      <c r="D115" s="213"/>
      <c r="E115" s="213" t="str">
        <f>IF(ADATLAP!E46="","nem tér el.","eltér.")</f>
        <v>eltér.</v>
      </c>
      <c r="F115" s="213"/>
      <c r="G115" s="213"/>
      <c r="H115" s="207"/>
      <c r="P115" s="321"/>
      <c r="Q115" s="321"/>
      <c r="R115" s="321"/>
      <c r="S115" s="321"/>
      <c r="T115" s="321"/>
      <c r="U115" s="321"/>
      <c r="V115" s="321"/>
    </row>
    <row r="116" spans="1:22" ht="16.5" customHeight="1">
      <c r="A116" s="213" t="str">
        <f>IF(ADATLAP!E46="","","A szabványtól eltérő műszaki megoldás a szabványossal legalább egyenértékű.")</f>
        <v>A szabványtól eltérő műszaki megoldás a szabványossal legalább egyenértékű.</v>
      </c>
      <c r="B116" s="213"/>
      <c r="C116" s="213"/>
      <c r="D116" s="213"/>
      <c r="E116" s="213"/>
      <c r="F116" s="213"/>
      <c r="G116" s="213"/>
      <c r="H116" s="207"/>
      <c r="P116" s="321"/>
      <c r="Q116" s="321"/>
      <c r="R116" s="321"/>
      <c r="S116" s="321"/>
      <c r="T116" s="321"/>
      <c r="U116" s="321"/>
      <c r="V116" s="321"/>
    </row>
    <row r="117" spans="1:22" ht="16.5" customHeight="1">
      <c r="A117" s="213" t="str">
        <f>IF(ADATLAP!E46="","","Igazoló tanúsítvány száma:")</f>
        <v>Igazoló tanúsítvány száma:</v>
      </c>
      <c r="B117" s="213"/>
      <c r="C117" s="213" t="str">
        <f>IF(ADATLAP!E46="","",ADATLAP!E46)</f>
        <v>LRQA: 0088/0961143/058</v>
      </c>
      <c r="D117" s="213"/>
      <c r="E117" s="216"/>
      <c r="F117" s="216"/>
      <c r="G117" s="216"/>
      <c r="H117" s="218" t="str">
        <f>IF(ADATLAP!J24=66,"Kiviteli terv esetén válassz!","")</f>
        <v/>
      </c>
      <c r="I117" s="207"/>
      <c r="P117" s="321"/>
      <c r="Q117" s="321"/>
      <c r="R117" s="321"/>
      <c r="S117" s="321"/>
      <c r="T117" s="321"/>
      <c r="U117" s="321"/>
      <c r="V117" s="321"/>
    </row>
    <row r="118" spans="1:22" ht="16.5" customHeight="1">
      <c r="A118" s="213" t="str">
        <f>IF(ADATLAP!J24=66,CHOOSE(O124,P124,P125),"")</f>
        <v/>
      </c>
      <c r="B118" s="213"/>
      <c r="C118" s="213"/>
      <c r="D118" s="213"/>
      <c r="E118" s="213"/>
      <c r="F118" s="213"/>
      <c r="G118" s="213"/>
      <c r="H118" s="207"/>
      <c r="I118" s="206"/>
    </row>
    <row r="119" spans="1:22" ht="16.5" customHeight="1">
      <c r="H119" s="217" t="str">
        <f>IF(O124=2,"&lt; Sorold fel a fő műsz. adat változásokat!","")</f>
        <v/>
      </c>
      <c r="I119" s="206"/>
      <c r="P119" s="323" t="s">
        <v>143</v>
      </c>
      <c r="Q119" s="323"/>
      <c r="R119" s="323"/>
      <c r="S119" s="323"/>
      <c r="T119" s="323"/>
      <c r="U119" s="323"/>
      <c r="V119" s="323"/>
    </row>
    <row r="120" spans="1:22" ht="16.5" customHeight="1">
      <c r="H120" s="206"/>
      <c r="I120" s="206"/>
      <c r="P120" s="323"/>
      <c r="Q120" s="323"/>
      <c r="R120" s="323"/>
      <c r="S120" s="323"/>
      <c r="T120" s="323"/>
      <c r="U120" s="323"/>
      <c r="V120" s="323"/>
    </row>
    <row r="121" spans="1:22" ht="16.5" customHeight="1">
      <c r="H121" s="206"/>
      <c r="I121" s="206"/>
      <c r="K121" s="213"/>
      <c r="L121" s="213"/>
      <c r="M121" s="213"/>
      <c r="P121" s="323"/>
      <c r="Q121" s="323"/>
      <c r="R121" s="323"/>
      <c r="S121" s="323"/>
      <c r="T121" s="323"/>
      <c r="U121" s="323"/>
      <c r="V121" s="323"/>
    </row>
    <row r="122" spans="1:22" ht="16.5" customHeight="1">
      <c r="H122" s="206"/>
      <c r="I122" s="206"/>
      <c r="O122" s="213"/>
      <c r="P122" s="213"/>
      <c r="Q122" s="213"/>
    </row>
    <row r="123" spans="1:22" ht="16.5" customHeight="1">
      <c r="A123" s="25" t="str">
        <f>"Budapest, "&amp;T(ADATLAP!E23)</f>
        <v>Budapest, 2021.08.19</v>
      </c>
      <c r="E123" s="50" t="str">
        <f>ADATLAP!E47</f>
        <v>Odonics Boglárka</v>
      </c>
      <c r="I123" s="207"/>
      <c r="O123" s="213"/>
      <c r="P123" s="213"/>
      <c r="Q123" s="213"/>
    </row>
    <row r="124" spans="1:22" ht="16.5" customHeight="1">
      <c r="E124" s="50" t="s">
        <v>84</v>
      </c>
      <c r="I124" s="207"/>
      <c r="O124" s="213">
        <v>1</v>
      </c>
      <c r="P124" s="213" t="s">
        <v>419</v>
      </c>
      <c r="Q124" s="213"/>
    </row>
    <row r="125" spans="1:22" ht="16.5" customHeight="1">
      <c r="I125" s="25"/>
      <c r="P125" s="213" t="s">
        <v>420</v>
      </c>
    </row>
    <row r="126" spans="1:22" ht="16.5" customHeight="1">
      <c r="I126" s="50"/>
    </row>
    <row r="127" spans="1:22" ht="16.5" customHeight="1">
      <c r="I127" s="50"/>
    </row>
    <row r="129" spans="10:10">
      <c r="J129" s="215"/>
    </row>
    <row r="130" spans="10:10">
      <c r="J130" s="215"/>
    </row>
  </sheetData>
  <mergeCells count="28">
    <mergeCell ref="P119:V121"/>
    <mergeCell ref="A84:F84"/>
    <mergeCell ref="B89:G90"/>
    <mergeCell ref="B91:G91"/>
    <mergeCell ref="A96:G96"/>
    <mergeCell ref="A100:G100"/>
    <mergeCell ref="H96:I96"/>
    <mergeCell ref="A111:G111"/>
    <mergeCell ref="A112:G112"/>
    <mergeCell ref="A113:G113"/>
    <mergeCell ref="A106:G106"/>
    <mergeCell ref="A109:G109"/>
    <mergeCell ref="A110:G110"/>
    <mergeCell ref="A107:G107"/>
    <mergeCell ref="B93:G94"/>
    <mergeCell ref="A108:G108"/>
    <mergeCell ref="B24:F25"/>
    <mergeCell ref="A67:F67"/>
    <mergeCell ref="B27:F29"/>
    <mergeCell ref="P111:V111"/>
    <mergeCell ref="P112:V117"/>
    <mergeCell ref="A102:G102"/>
    <mergeCell ref="A104:G104"/>
    <mergeCell ref="A98:G98"/>
    <mergeCell ref="A99:G99"/>
    <mergeCell ref="A101:G101"/>
    <mergeCell ref="A103:G103"/>
    <mergeCell ref="A105:G105"/>
  </mergeCells>
  <pageMargins left="0.98425196850393704" right="0.47244094488188981" top="0.6692913385826772" bottom="0.19685039370078741" header="0.23622047244094491" footer="0.31496062992125984"/>
  <pageSetup paperSize="9" scale="97" orientation="portrait" r:id="rId1"/>
  <rowBreaks count="2" manualBreakCount="2">
    <brk id="60" max="6" man="1"/>
    <brk id="82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0" r:id="rId4" name="Drop Down 2">
              <controlPr defaultSize="0" print="0" autoFill="0" autoLine="0" autoPict="0">
                <anchor moveWithCells="1">
                  <from>
                    <xdr:col>7</xdr:col>
                    <xdr:colOff>19050</xdr:colOff>
                    <xdr:row>117</xdr:row>
                    <xdr:rowOff>9525</xdr:rowOff>
                  </from>
                  <to>
                    <xdr:col>12</xdr:col>
                    <xdr:colOff>19050</xdr:colOff>
                    <xdr:row>118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Munka2"/>
  <dimension ref="A1:T60"/>
  <sheetViews>
    <sheetView view="pageBreakPreview" topLeftCell="A10" zoomScaleNormal="100" zoomScaleSheetLayoutView="100" workbookViewId="0">
      <selection activeCell="F32" sqref="F32"/>
    </sheetView>
  </sheetViews>
  <sheetFormatPr defaultColWidth="9" defaultRowHeight="12.75"/>
  <cols>
    <col min="1" max="1" width="9" style="24"/>
    <col min="2" max="2" width="5.42578125" style="24" customWidth="1"/>
    <col min="3" max="3" width="10.140625" style="24" bestFit="1" customWidth="1"/>
    <col min="4" max="4" width="9" style="24"/>
    <col min="5" max="5" width="10.85546875" style="24" customWidth="1"/>
    <col min="6" max="6" width="9" style="24" customWidth="1"/>
    <col min="7" max="8" width="9" style="24"/>
    <col min="9" max="9" width="14.140625" style="24" customWidth="1"/>
    <col min="10" max="16384" width="9" style="24"/>
  </cols>
  <sheetData>
    <row r="1" spans="1:10" ht="15.75">
      <c r="A1" s="23" t="s">
        <v>117</v>
      </c>
    </row>
    <row r="2" spans="1:10" ht="14.25">
      <c r="A2" s="25"/>
    </row>
    <row r="3" spans="1:10" ht="23.25">
      <c r="A3" s="318" t="s">
        <v>437</v>
      </c>
      <c r="B3" s="318"/>
      <c r="C3" s="318"/>
      <c r="D3" s="318"/>
      <c r="E3" s="318"/>
      <c r="F3" s="318"/>
      <c r="G3" s="318"/>
      <c r="H3" s="318"/>
      <c r="I3" s="318"/>
      <c r="J3" s="26"/>
    </row>
    <row r="4" spans="1:10" ht="15">
      <c r="A4" s="335"/>
      <c r="B4" s="335"/>
      <c r="C4" s="335"/>
      <c r="D4" s="335"/>
      <c r="E4" s="335"/>
      <c r="F4" s="335"/>
      <c r="G4" s="335"/>
      <c r="H4" s="335"/>
      <c r="I4" s="335"/>
      <c r="J4" s="27"/>
    </row>
    <row r="5" spans="1:10" ht="17.100000000000001" customHeight="1">
      <c r="A5" s="28"/>
      <c r="B5" s="28"/>
      <c r="C5" s="28"/>
      <c r="D5" s="28"/>
      <c r="E5" s="28"/>
      <c r="F5" s="28"/>
      <c r="G5" s="28"/>
      <c r="H5" s="28"/>
      <c r="I5" s="28"/>
    </row>
    <row r="6" spans="1:10" ht="17.100000000000001" customHeight="1">
      <c r="A6" s="23"/>
      <c r="B6" s="23" t="s">
        <v>45</v>
      </c>
      <c r="C6" s="23"/>
      <c r="D6" s="23"/>
      <c r="E6" s="29"/>
      <c r="F6" s="23" t="str">
        <f>"M-"&amp;MID(ADATLAP!E25,3,16)</f>
        <v>M-NP3756-00-000-0</v>
      </c>
      <c r="G6" s="23"/>
      <c r="H6" s="23"/>
      <c r="I6" s="23"/>
    </row>
    <row r="7" spans="1:10" ht="17.100000000000001" customHeight="1">
      <c r="A7" s="23"/>
      <c r="B7" s="23"/>
      <c r="C7" s="23"/>
      <c r="D7" s="23"/>
      <c r="E7" s="29"/>
      <c r="F7" s="23"/>
      <c r="G7" s="23"/>
      <c r="H7" s="23"/>
      <c r="I7" s="23"/>
    </row>
    <row r="8" spans="1:10" ht="17.100000000000001" customHeight="1">
      <c r="A8" s="23"/>
      <c r="B8" s="23"/>
      <c r="C8" s="23"/>
      <c r="D8" s="23"/>
      <c r="E8" s="29"/>
      <c r="F8" s="23"/>
      <c r="G8" s="23"/>
      <c r="H8" s="23"/>
      <c r="I8" s="23"/>
    </row>
    <row r="9" spans="1:10" ht="17.100000000000001" customHeight="1">
      <c r="A9" s="28"/>
      <c r="B9" s="28"/>
      <c r="C9" s="28"/>
      <c r="D9" s="28"/>
      <c r="E9" s="28"/>
      <c r="F9" s="28"/>
      <c r="G9" s="28"/>
      <c r="H9" s="28"/>
      <c r="I9" s="28"/>
    </row>
    <row r="10" spans="1:10" ht="17.100000000000001" customHeight="1">
      <c r="A10" s="28"/>
      <c r="B10" s="23" t="s">
        <v>438</v>
      </c>
      <c r="C10" s="28"/>
      <c r="D10" s="28"/>
      <c r="E10" s="28"/>
      <c r="F10" s="28"/>
      <c r="G10" s="28"/>
      <c r="H10" s="28"/>
      <c r="I10" s="28"/>
    </row>
    <row r="11" spans="1:10" ht="17.100000000000001" customHeight="1">
      <c r="A11" s="28"/>
      <c r="B11" s="23"/>
      <c r="C11" s="28"/>
      <c r="D11" s="28"/>
      <c r="E11" s="28"/>
      <c r="F11" s="28"/>
      <c r="G11" s="28"/>
      <c r="H11" s="28"/>
      <c r="I11" s="28"/>
    </row>
    <row r="12" spans="1:10" ht="17.100000000000001" customHeight="1">
      <c r="A12" s="230" t="s">
        <v>1</v>
      </c>
      <c r="B12" s="28" t="s">
        <v>46</v>
      </c>
      <c r="C12" s="28"/>
      <c r="D12" s="28"/>
      <c r="E12" s="28"/>
      <c r="F12" s="30" t="str">
        <f>ADATLAP!E26</f>
        <v>személyfelvonó</v>
      </c>
      <c r="G12" s="28"/>
      <c r="H12" s="28"/>
      <c r="I12" s="28"/>
    </row>
    <row r="13" spans="1:10" ht="17.100000000000001" customHeight="1">
      <c r="A13" s="230" t="s">
        <v>2</v>
      </c>
      <c r="B13" s="28" t="s">
        <v>47</v>
      </c>
      <c r="C13" s="28"/>
      <c r="D13" s="28"/>
      <c r="E13" s="28"/>
      <c r="F13" s="30" t="str">
        <f>ADATLAP!E27</f>
        <v>1000 kg = 13 személy</v>
      </c>
      <c r="G13" s="28"/>
      <c r="H13" s="28"/>
      <c r="I13" s="28"/>
    </row>
    <row r="14" spans="1:10" ht="17.100000000000001" customHeight="1">
      <c r="A14" s="230" t="s">
        <v>3</v>
      </c>
      <c r="B14" s="28" t="s">
        <v>48</v>
      </c>
      <c r="C14" s="28"/>
      <c r="D14" s="28"/>
      <c r="E14" s="28"/>
      <c r="F14" s="336">
        <f>ADATLAP!E28</f>
        <v>1</v>
      </c>
      <c r="G14" s="336"/>
      <c r="H14" s="28"/>
      <c r="I14" s="28"/>
    </row>
    <row r="15" spans="1:10" ht="17.100000000000001" customHeight="1">
      <c r="A15" s="230" t="s">
        <v>4</v>
      </c>
      <c r="B15" s="28" t="s">
        <v>51</v>
      </c>
      <c r="C15" s="28"/>
      <c r="D15" s="28"/>
      <c r="E15" s="28"/>
      <c r="F15" s="337">
        <f>ADATLAP!E31</f>
        <v>24.26</v>
      </c>
      <c r="G15" s="337"/>
      <c r="H15" s="28"/>
      <c r="I15" s="28"/>
    </row>
    <row r="16" spans="1:10" ht="17.100000000000001" customHeight="1">
      <c r="A16" s="230" t="s">
        <v>439</v>
      </c>
      <c r="B16" s="28" t="s">
        <v>52</v>
      </c>
      <c r="C16" s="28"/>
      <c r="D16" s="28"/>
      <c r="E16" s="28"/>
      <c r="F16" s="31">
        <f>ADATLAP!E32</f>
        <v>8</v>
      </c>
      <c r="G16" s="28"/>
      <c r="H16" s="28"/>
      <c r="I16" s="28"/>
    </row>
    <row r="17" spans="1:20" ht="17.100000000000001" customHeight="1">
      <c r="A17" s="230"/>
      <c r="B17" s="28" t="s">
        <v>53</v>
      </c>
      <c r="C17" s="28"/>
      <c r="D17" s="28"/>
      <c r="E17" s="28"/>
      <c r="F17" s="30">
        <f>ADATLAP!E33</f>
        <v>9</v>
      </c>
      <c r="G17" s="30" t="str">
        <f>ADATLAP!E34</f>
        <v>két oldalon</v>
      </c>
      <c r="H17" s="28"/>
      <c r="I17" s="28"/>
    </row>
    <row r="18" spans="1:20" ht="17.100000000000001" customHeight="1">
      <c r="A18" s="230" t="s">
        <v>440</v>
      </c>
      <c r="B18" s="28" t="s">
        <v>50</v>
      </c>
      <c r="C18" s="28"/>
      <c r="D18" s="28"/>
      <c r="E18" s="28"/>
      <c r="F18" s="30" t="str">
        <f>ADATLAP!E30</f>
        <v>mindenki által vezethető</v>
      </c>
      <c r="G18" s="28"/>
      <c r="H18" s="28"/>
      <c r="I18" s="28"/>
    </row>
    <row r="19" spans="1:20" ht="17.100000000000001" customHeight="1">
      <c r="A19" s="230" t="s">
        <v>441</v>
      </c>
      <c r="B19" s="28" t="s">
        <v>49</v>
      </c>
      <c r="F19" s="30" t="str">
        <f>ADATLAP!E29</f>
        <v>szimplex, le irányban gyűjtő</v>
      </c>
      <c r="I19" s="28"/>
    </row>
    <row r="20" spans="1:20" ht="17.100000000000001" customHeight="1">
      <c r="A20" s="230" t="s">
        <v>442</v>
      </c>
      <c r="B20" s="28" t="s">
        <v>54</v>
      </c>
      <c r="C20" s="28"/>
      <c r="D20" s="28"/>
      <c r="E20" s="28"/>
      <c r="F20" s="30" t="str">
        <f>ADATLAP!E35</f>
        <v>villamos, szabályozott</v>
      </c>
      <c r="G20" s="28"/>
      <c r="H20" s="28"/>
      <c r="I20" s="28"/>
    </row>
    <row r="21" spans="1:20" ht="17.100000000000001" customHeight="1">
      <c r="A21" s="230"/>
      <c r="B21" s="28"/>
      <c r="C21" s="28"/>
      <c r="D21" s="28"/>
      <c r="E21" s="28"/>
      <c r="F21" s="30"/>
      <c r="G21" s="28"/>
      <c r="H21" s="28"/>
      <c r="I21" s="28"/>
    </row>
    <row r="22" spans="1:20" ht="17.100000000000001" customHeight="1">
      <c r="A22" s="230"/>
      <c r="B22" s="23" t="s">
        <v>443</v>
      </c>
      <c r="C22" s="28"/>
      <c r="D22" s="28"/>
      <c r="E22" s="28"/>
      <c r="F22" s="30"/>
      <c r="G22" s="28"/>
      <c r="H22" s="28"/>
      <c r="I22" s="28"/>
    </row>
    <row r="23" spans="1:20" ht="17.100000000000001" customHeight="1">
      <c r="A23" s="230"/>
      <c r="B23" s="28"/>
      <c r="C23" s="28"/>
      <c r="D23" s="28"/>
      <c r="E23" s="28"/>
      <c r="F23" s="30"/>
      <c r="G23" s="28"/>
      <c r="H23" s="28"/>
      <c r="I23" s="28"/>
    </row>
    <row r="24" spans="1:20" ht="17.100000000000001" customHeight="1">
      <c r="A24" s="28"/>
      <c r="B24" s="28" t="s">
        <v>86</v>
      </c>
      <c r="C24" s="28"/>
      <c r="D24" s="28"/>
      <c r="E24" s="28"/>
      <c r="F24" s="30" t="str">
        <f>ADATLAP!E36</f>
        <v>felső, aknafejben, gépház nélkül</v>
      </c>
      <c r="G24" s="28"/>
      <c r="H24" s="28"/>
      <c r="I24" s="28"/>
    </row>
    <row r="25" spans="1:20" ht="17.100000000000001" customHeight="1">
      <c r="A25" s="28"/>
      <c r="B25" s="28" t="s">
        <v>55</v>
      </c>
      <c r="C25" s="28"/>
      <c r="D25" s="28"/>
      <c r="E25" s="28"/>
      <c r="F25" s="30" t="s">
        <v>82</v>
      </c>
      <c r="G25" s="28"/>
      <c r="H25" s="28"/>
      <c r="I25" s="28"/>
    </row>
    <row r="26" spans="1:20" ht="17.100000000000001" customHeight="1">
      <c r="A26" s="28"/>
      <c r="B26" s="28" t="s">
        <v>56</v>
      </c>
      <c r="C26" s="28"/>
      <c r="D26" s="28"/>
      <c r="E26" s="28"/>
      <c r="F26" s="334">
        <f>ADATLAP!E41</f>
        <v>7.6</v>
      </c>
      <c r="G26" s="334"/>
      <c r="H26" s="28"/>
      <c r="I26" s="28"/>
    </row>
    <row r="27" spans="1:20" ht="17.100000000000001" customHeight="1">
      <c r="A27" s="28"/>
      <c r="B27" s="28" t="s">
        <v>57</v>
      </c>
      <c r="C27" s="28"/>
      <c r="D27" s="28"/>
      <c r="E27" s="28"/>
      <c r="F27" s="32">
        <f>ADATLAP!E42</f>
        <v>11</v>
      </c>
      <c r="G27" s="33">
        <f>ADATLAP!E43</f>
        <v>14.5</v>
      </c>
      <c r="H27" s="28"/>
      <c r="I27" s="28"/>
    </row>
    <row r="28" spans="1:20" ht="17.100000000000001" customHeight="1">
      <c r="A28" s="28"/>
      <c r="B28" s="28" t="s">
        <v>58</v>
      </c>
      <c r="C28" s="28"/>
      <c r="D28" s="28"/>
      <c r="E28" s="28"/>
      <c r="F28" s="338">
        <f>ADATLAP!E37</f>
        <v>150</v>
      </c>
      <c r="G28" s="338"/>
      <c r="H28" s="28"/>
      <c r="I28" s="28"/>
    </row>
    <row r="29" spans="1:20" ht="17.100000000000001" customHeight="1">
      <c r="A29" s="28"/>
      <c r="B29" s="28" t="str">
        <f>IF(ADATLAP!E38="",IF(ADATLAP!E39="",ADATLAP!A40,ADATLAP!A39),ADATLAP!A38)</f>
        <v>Géptér hőteljesítménye</v>
      </c>
      <c r="C29" s="28"/>
      <c r="D29" s="28"/>
      <c r="E29" s="28"/>
      <c r="F29" s="333">
        <f>IF(ADATLAP!E38="",IF(ADATLAP!E39="",ADATLAP!E40,ADATLAP!E39),ADATLAP!E38)</f>
        <v>1</v>
      </c>
      <c r="G29" s="333"/>
      <c r="H29" s="28"/>
      <c r="I29" s="28"/>
    </row>
    <row r="30" spans="1:20" ht="17.100000000000001" customHeight="1">
      <c r="A30" s="28"/>
      <c r="B30" s="28" t="s">
        <v>59</v>
      </c>
      <c r="C30" s="28"/>
      <c r="D30" s="28"/>
      <c r="E30" s="28"/>
      <c r="F30" s="30" t="str">
        <f>ADATLAP!E44</f>
        <v>személyszállítás</v>
      </c>
      <c r="G30" s="28"/>
      <c r="H30" s="28"/>
      <c r="I30" s="28"/>
    </row>
    <row r="31" spans="1:20" ht="17.100000000000001" customHeight="1">
      <c r="A31" s="28"/>
      <c r="B31" s="28"/>
      <c r="C31" s="28"/>
      <c r="D31" s="28"/>
      <c r="E31" s="28"/>
      <c r="F31" s="30"/>
      <c r="G31" s="28"/>
      <c r="H31" s="28"/>
      <c r="I31" s="28"/>
    </row>
    <row r="32" spans="1:20" ht="17.100000000000001" customHeight="1">
      <c r="A32" s="28"/>
      <c r="G32" s="28"/>
      <c r="H32" s="28"/>
      <c r="I32" s="28"/>
      <c r="L32" s="37" t="s">
        <v>122</v>
      </c>
      <c r="M32" s="38"/>
      <c r="N32" s="38"/>
      <c r="O32" s="38"/>
      <c r="P32" s="38"/>
      <c r="Q32" s="38"/>
      <c r="R32" s="39"/>
      <c r="S32" s="39"/>
      <c r="T32" s="40"/>
    </row>
    <row r="33" spans="1:20" ht="17.100000000000001" customHeight="1">
      <c r="A33" s="28"/>
      <c r="C33" s="28"/>
      <c r="D33" s="28"/>
      <c r="E33" s="28"/>
      <c r="F33" s="28"/>
      <c r="G33" s="28"/>
      <c r="H33" s="28"/>
      <c r="I33" s="28"/>
      <c r="L33" s="327" t="s">
        <v>123</v>
      </c>
      <c r="M33" s="328"/>
      <c r="N33" s="328"/>
      <c r="O33" s="328"/>
      <c r="P33" s="328"/>
      <c r="Q33" s="328"/>
      <c r="R33" s="328"/>
      <c r="S33" s="328"/>
      <c r="T33" s="329"/>
    </row>
    <row r="34" spans="1:20" ht="17.100000000000001" customHeight="1">
      <c r="A34" s="28"/>
      <c r="C34" s="28"/>
      <c r="D34" s="28"/>
      <c r="E34" s="28"/>
      <c r="F34" s="28"/>
      <c r="G34" s="28"/>
      <c r="H34" s="28"/>
      <c r="I34" s="28"/>
      <c r="L34" s="327"/>
      <c r="M34" s="328"/>
      <c r="N34" s="328"/>
      <c r="O34" s="328"/>
      <c r="P34" s="328"/>
      <c r="Q34" s="328"/>
      <c r="R34" s="328"/>
      <c r="S34" s="328"/>
      <c r="T34" s="329"/>
    </row>
    <row r="35" spans="1:20" ht="17.100000000000001" customHeight="1">
      <c r="A35" s="28"/>
      <c r="C35" s="34"/>
      <c r="D35" s="28"/>
      <c r="E35" s="28"/>
      <c r="F35" s="28"/>
      <c r="G35" s="28"/>
      <c r="H35" s="28"/>
      <c r="I35" s="28"/>
      <c r="L35" s="327"/>
      <c r="M35" s="328"/>
      <c r="N35" s="328"/>
      <c r="O35" s="328"/>
      <c r="P35" s="328"/>
      <c r="Q35" s="328"/>
      <c r="R35" s="328"/>
      <c r="S35" s="328"/>
      <c r="T35" s="329"/>
    </row>
    <row r="36" spans="1:20" ht="17.100000000000001" customHeight="1">
      <c r="A36" s="28"/>
      <c r="B36" s="28" t="str">
        <f>"Budapest, "&amp;T(ADATLAP!E23)</f>
        <v>Budapest, 2021.08.19</v>
      </c>
      <c r="C36" s="28"/>
      <c r="D36" s="28"/>
      <c r="E36" s="28"/>
      <c r="F36" s="28"/>
      <c r="G36" s="28"/>
      <c r="H36" s="28"/>
      <c r="I36" s="28"/>
      <c r="L36" s="330" t="s">
        <v>124</v>
      </c>
      <c r="M36" s="331"/>
      <c r="N36" s="331"/>
      <c r="O36" s="331"/>
      <c r="P36" s="331"/>
      <c r="Q36" s="331"/>
      <c r="R36" s="331"/>
      <c r="S36" s="331"/>
      <c r="T36" s="332"/>
    </row>
    <row r="37" spans="1:20" ht="17.100000000000001" customHeight="1">
      <c r="A37" s="28"/>
      <c r="B37" s="28"/>
      <c r="C37" s="28"/>
      <c r="D37" s="28"/>
      <c r="E37" s="28"/>
      <c r="F37" s="28"/>
      <c r="G37" s="28"/>
      <c r="H37" s="28"/>
      <c r="I37" s="28"/>
    </row>
    <row r="38" spans="1:20" ht="17.100000000000001" customHeight="1">
      <c r="A38" s="28"/>
      <c r="B38" s="28"/>
      <c r="C38" s="28"/>
      <c r="D38" s="28"/>
      <c r="E38" s="28"/>
      <c r="F38" s="28"/>
      <c r="G38" s="28"/>
      <c r="H38" s="28"/>
      <c r="I38" s="28"/>
      <c r="L38" s="37" t="s">
        <v>122</v>
      </c>
      <c r="M38" s="38"/>
      <c r="N38" s="38"/>
      <c r="O38" s="38"/>
      <c r="P38" s="38"/>
      <c r="Q38" s="38"/>
      <c r="R38" s="39"/>
      <c r="S38" s="39"/>
      <c r="T38" s="40"/>
    </row>
    <row r="39" spans="1:20" ht="17.100000000000001" customHeight="1">
      <c r="A39" s="28"/>
      <c r="C39" s="27" t="s">
        <v>60</v>
      </c>
      <c r="D39" s="27"/>
      <c r="E39" s="28"/>
      <c r="F39" s="28"/>
      <c r="H39" s="237" t="str">
        <f>ADATLAP!E47</f>
        <v>Odonics Boglárka</v>
      </c>
      <c r="I39" s="27"/>
      <c r="L39" s="327" t="s">
        <v>125</v>
      </c>
      <c r="M39" s="328"/>
      <c r="N39" s="328"/>
      <c r="O39" s="328"/>
      <c r="P39" s="328"/>
      <c r="Q39" s="328"/>
      <c r="R39" s="328"/>
      <c r="S39" s="328"/>
      <c r="T39" s="329"/>
    </row>
    <row r="40" spans="1:20" ht="17.100000000000001" customHeight="1">
      <c r="A40" s="28"/>
      <c r="C40" s="27" t="s">
        <v>413</v>
      </c>
      <c r="D40" s="27"/>
      <c r="E40" s="28"/>
      <c r="F40" s="28"/>
      <c r="H40" s="237" t="s">
        <v>84</v>
      </c>
      <c r="I40" s="27"/>
      <c r="L40" s="327"/>
      <c r="M40" s="328"/>
      <c r="N40" s="328"/>
      <c r="O40" s="328"/>
      <c r="P40" s="328"/>
      <c r="Q40" s="328"/>
      <c r="R40" s="328"/>
      <c r="S40" s="328"/>
      <c r="T40" s="329"/>
    </row>
    <row r="41" spans="1:20" ht="17.100000000000001" customHeight="1">
      <c r="A41" s="28"/>
      <c r="B41" s="28"/>
      <c r="C41" s="28"/>
      <c r="D41" s="28"/>
      <c r="E41" s="28"/>
      <c r="F41" s="28"/>
      <c r="G41" s="230" t="s">
        <v>466</v>
      </c>
      <c r="H41" s="50" t="str">
        <f>ADATLAP!E48</f>
        <v>01-15611</v>
      </c>
      <c r="I41" s="30" t="s">
        <v>467</v>
      </c>
      <c r="L41" s="330"/>
      <c r="M41" s="331"/>
      <c r="N41" s="331"/>
      <c r="O41" s="331"/>
      <c r="P41" s="331"/>
      <c r="Q41" s="331"/>
      <c r="R41" s="331"/>
      <c r="S41" s="331"/>
      <c r="T41" s="332"/>
    </row>
    <row r="42" spans="1:20" ht="17.100000000000001" customHeight="1">
      <c r="A42" s="28"/>
      <c r="B42" s="28"/>
      <c r="C42" s="28"/>
      <c r="D42" s="28"/>
      <c r="E42" s="28"/>
      <c r="F42" s="28"/>
      <c r="G42" s="28"/>
      <c r="H42" s="28"/>
      <c r="I42" s="28"/>
    </row>
    <row r="43" spans="1:20" ht="17.100000000000001" customHeight="1">
      <c r="A43" s="28"/>
      <c r="B43" s="28"/>
      <c r="C43" s="28"/>
      <c r="D43" s="28"/>
      <c r="E43" s="28"/>
      <c r="F43" s="28"/>
      <c r="G43" s="28"/>
      <c r="H43" s="28"/>
      <c r="I43" s="28"/>
    </row>
    <row r="44" spans="1:20" ht="17.100000000000001" customHeight="1">
      <c r="A44" s="28"/>
      <c r="B44" s="28"/>
      <c r="C44" s="28"/>
      <c r="D44" s="28"/>
      <c r="E44" s="28"/>
      <c r="F44" s="28"/>
      <c r="G44" s="28"/>
      <c r="H44" s="28"/>
      <c r="I44" s="28"/>
    </row>
    <row r="45" spans="1:20" ht="17.100000000000001" customHeight="1">
      <c r="A45" s="28"/>
      <c r="B45" s="28"/>
      <c r="C45" s="28"/>
      <c r="D45" s="28"/>
      <c r="E45" s="28"/>
      <c r="F45" s="28"/>
      <c r="G45" s="28"/>
      <c r="H45" s="28"/>
      <c r="I45" s="28"/>
    </row>
    <row r="46" spans="1:20" ht="17.100000000000001" customHeight="1">
      <c r="A46" s="28"/>
      <c r="B46" s="28"/>
      <c r="C46" s="28"/>
      <c r="D46" s="28"/>
      <c r="E46" s="28"/>
      <c r="F46" s="28"/>
      <c r="G46" s="28"/>
      <c r="H46" s="28"/>
      <c r="I46" s="28"/>
    </row>
    <row r="47" spans="1:20" ht="17.100000000000001" customHeight="1">
      <c r="A47" s="28"/>
      <c r="B47" s="28"/>
      <c r="C47" s="28"/>
      <c r="D47" s="28"/>
      <c r="E47" s="28"/>
      <c r="F47" s="28"/>
      <c r="G47" s="28"/>
      <c r="H47" s="28"/>
      <c r="I47" s="28"/>
    </row>
    <row r="48" spans="1:20" ht="17.100000000000001" customHeight="1">
      <c r="A48" s="28"/>
      <c r="B48" s="28"/>
      <c r="C48" s="28"/>
      <c r="D48" s="28"/>
      <c r="E48" s="28"/>
      <c r="F48" s="28"/>
      <c r="G48" s="28"/>
      <c r="H48" s="28"/>
      <c r="I48" s="28"/>
    </row>
    <row r="49" spans="1:9" ht="17.100000000000001" customHeight="1">
      <c r="A49" s="28"/>
      <c r="B49" s="28"/>
      <c r="C49" s="28"/>
      <c r="D49" s="28"/>
      <c r="E49" s="28"/>
      <c r="F49" s="28"/>
      <c r="G49" s="28"/>
      <c r="H49" s="28"/>
      <c r="I49" s="28"/>
    </row>
    <row r="50" spans="1:9" ht="17.100000000000001" customHeight="1">
      <c r="A50" s="28"/>
      <c r="B50" s="28"/>
      <c r="C50" s="28"/>
      <c r="D50" s="28"/>
      <c r="E50" s="28"/>
      <c r="F50" s="28"/>
      <c r="G50" s="28"/>
      <c r="H50" s="28"/>
      <c r="I50" s="28"/>
    </row>
    <row r="51" spans="1:9" ht="17.100000000000001" customHeight="1">
      <c r="A51" s="28"/>
      <c r="B51" s="28"/>
      <c r="C51" s="28"/>
      <c r="D51" s="28"/>
      <c r="E51" s="28"/>
      <c r="F51" s="28"/>
      <c r="G51" s="28"/>
      <c r="H51" s="28"/>
      <c r="I51" s="28"/>
    </row>
    <row r="52" spans="1:9" ht="17.100000000000001" customHeight="1">
      <c r="A52" s="28"/>
      <c r="B52" s="28"/>
      <c r="C52" s="28"/>
      <c r="D52" s="28"/>
      <c r="E52" s="28"/>
      <c r="F52" s="28"/>
      <c r="G52" s="28"/>
      <c r="H52" s="28"/>
      <c r="I52" s="28"/>
    </row>
    <row r="53" spans="1:9" ht="15">
      <c r="A53" s="28"/>
      <c r="B53" s="28"/>
      <c r="C53" s="28"/>
      <c r="D53" s="28"/>
      <c r="E53" s="28"/>
      <c r="F53" s="28"/>
      <c r="G53" s="28"/>
      <c r="H53" s="28"/>
      <c r="I53" s="28"/>
    </row>
    <row r="54" spans="1:9" ht="15">
      <c r="A54" s="28"/>
      <c r="B54" s="28"/>
      <c r="C54" s="28"/>
      <c r="D54" s="28"/>
      <c r="E54" s="28"/>
      <c r="F54" s="28"/>
      <c r="G54" s="28"/>
      <c r="H54" s="28"/>
      <c r="I54" s="28"/>
    </row>
    <row r="55" spans="1:9" ht="15">
      <c r="A55" s="28"/>
      <c r="B55" s="28"/>
      <c r="C55" s="28"/>
      <c r="D55" s="28"/>
      <c r="E55" s="28"/>
      <c r="F55" s="28"/>
      <c r="G55" s="28"/>
      <c r="H55" s="28"/>
      <c r="I55" s="28"/>
    </row>
    <row r="56" spans="1:9" ht="15">
      <c r="A56" s="28"/>
      <c r="B56" s="28"/>
      <c r="C56" s="28"/>
      <c r="D56" s="28"/>
      <c r="E56" s="28"/>
      <c r="F56" s="28"/>
      <c r="G56" s="28"/>
      <c r="H56" s="28"/>
      <c r="I56" s="28"/>
    </row>
    <row r="57" spans="1:9" ht="15">
      <c r="A57" s="28"/>
      <c r="B57" s="28"/>
      <c r="C57" s="28"/>
      <c r="D57" s="28"/>
      <c r="E57" s="28"/>
      <c r="F57" s="28"/>
      <c r="G57" s="28"/>
      <c r="H57" s="28"/>
      <c r="I57" s="28"/>
    </row>
    <row r="58" spans="1:9" ht="15">
      <c r="A58" s="28"/>
      <c r="B58" s="28"/>
      <c r="C58" s="28"/>
      <c r="D58" s="28"/>
      <c r="E58" s="28"/>
      <c r="F58" s="28"/>
      <c r="G58" s="28"/>
      <c r="H58" s="28"/>
      <c r="I58" s="28"/>
    </row>
    <row r="59" spans="1:9" ht="15">
      <c r="A59" s="28"/>
      <c r="B59" s="28"/>
      <c r="C59" s="28"/>
      <c r="D59" s="28"/>
      <c r="E59" s="28"/>
      <c r="F59" s="28"/>
      <c r="G59" s="28"/>
      <c r="H59" s="28"/>
      <c r="I59" s="28"/>
    </row>
    <row r="60" spans="1:9" ht="15">
      <c r="A60" s="28"/>
      <c r="B60" s="28"/>
      <c r="C60" s="28"/>
      <c r="D60" s="28"/>
      <c r="E60" s="28"/>
      <c r="F60" s="28"/>
      <c r="G60" s="28"/>
      <c r="H60" s="28"/>
      <c r="I60" s="28"/>
    </row>
  </sheetData>
  <mergeCells count="10">
    <mergeCell ref="A3:I3"/>
    <mergeCell ref="A4:I4"/>
    <mergeCell ref="F14:G14"/>
    <mergeCell ref="F15:G15"/>
    <mergeCell ref="F28:G28"/>
    <mergeCell ref="L39:T41"/>
    <mergeCell ref="L33:T35"/>
    <mergeCell ref="L36:T36"/>
    <mergeCell ref="F29:G29"/>
    <mergeCell ref="F26:G26"/>
  </mergeCells>
  <phoneticPr fontId="0" type="noConversion"/>
  <pageMargins left="0.97" right="0.56999999999999995" top="1" bottom="1" header="0.5" footer="0.5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/>
  </sheetPr>
  <dimension ref="A1:J49"/>
  <sheetViews>
    <sheetView view="pageBreakPreview" topLeftCell="A19" zoomScaleNormal="100" zoomScaleSheetLayoutView="100" workbookViewId="0">
      <selection activeCell="F51" sqref="F51"/>
    </sheetView>
  </sheetViews>
  <sheetFormatPr defaultRowHeight="12.75"/>
  <cols>
    <col min="1" max="1" width="9.140625" customWidth="1"/>
    <col min="3" max="3" width="10.5703125" customWidth="1"/>
  </cols>
  <sheetData>
    <row r="1" spans="1:9" ht="15.75">
      <c r="A1" s="23" t="s">
        <v>117</v>
      </c>
      <c r="I1" s="238" t="str">
        <f>"S-"&amp;MID(ADATLAP!E25,3,16)</f>
        <v>S-NP3756-00-000-0</v>
      </c>
    </row>
    <row r="3" spans="1:9" ht="20.25">
      <c r="E3" s="244" t="s">
        <v>469</v>
      </c>
    </row>
    <row r="5" spans="1:9" ht="15">
      <c r="A5" s="247" t="s">
        <v>470</v>
      </c>
      <c r="B5" s="213"/>
      <c r="C5" s="213" t="s">
        <v>474</v>
      </c>
      <c r="D5" s="213"/>
      <c r="E5" s="213"/>
      <c r="F5" s="213"/>
      <c r="G5" s="213"/>
      <c r="H5" s="253">
        <v>1000</v>
      </c>
      <c r="I5" s="249" t="s">
        <v>64</v>
      </c>
    </row>
    <row r="6" spans="1:9" ht="15">
      <c r="A6" s="247" t="s">
        <v>471</v>
      </c>
      <c r="B6" s="213"/>
      <c r="C6" s="213" t="s">
        <v>475</v>
      </c>
      <c r="D6" s="213"/>
      <c r="E6" s="213"/>
      <c r="F6" s="213"/>
      <c r="G6" s="213"/>
      <c r="H6" s="253">
        <v>1000</v>
      </c>
      <c r="I6" s="249" t="s">
        <v>64</v>
      </c>
    </row>
    <row r="7" spans="1:9" ht="15">
      <c r="A7" s="247" t="s">
        <v>472</v>
      </c>
      <c r="B7" s="213"/>
      <c r="C7" s="213" t="s">
        <v>484</v>
      </c>
      <c r="D7" s="213"/>
      <c r="E7" s="213"/>
      <c r="F7" s="213"/>
      <c r="G7" s="213"/>
      <c r="H7" s="249">
        <v>0.45</v>
      </c>
      <c r="I7" s="249"/>
    </row>
    <row r="8" spans="1:9" ht="16.5">
      <c r="A8" s="247" t="s">
        <v>504</v>
      </c>
      <c r="B8" s="213"/>
      <c r="C8" s="213" t="s">
        <v>476</v>
      </c>
      <c r="D8" s="213"/>
      <c r="E8" s="213"/>
      <c r="F8" s="213"/>
      <c r="G8" s="213"/>
      <c r="H8" s="249">
        <v>210</v>
      </c>
      <c r="I8" s="249" t="s">
        <v>64</v>
      </c>
    </row>
    <row r="9" spans="1:9" ht="16.5">
      <c r="A9" s="247" t="s">
        <v>505</v>
      </c>
      <c r="B9" s="213"/>
      <c r="C9" s="213" t="s">
        <v>477</v>
      </c>
      <c r="D9" s="213"/>
      <c r="E9" s="213"/>
      <c r="F9" s="213"/>
      <c r="G9" s="213"/>
      <c r="H9" s="249">
        <v>650</v>
      </c>
      <c r="I9" s="249" t="s">
        <v>64</v>
      </c>
    </row>
    <row r="10" spans="1:9" ht="16.5">
      <c r="A10" s="247" t="s">
        <v>506</v>
      </c>
      <c r="B10" s="213"/>
      <c r="C10" s="213" t="s">
        <v>478</v>
      </c>
      <c r="D10" s="213"/>
      <c r="E10" s="213"/>
      <c r="F10" s="213"/>
      <c r="G10" s="213"/>
      <c r="H10" s="249">
        <v>500</v>
      </c>
      <c r="I10" s="249" t="s">
        <v>64</v>
      </c>
    </row>
    <row r="11" spans="1:9" ht="16.5">
      <c r="A11" s="247" t="s">
        <v>507</v>
      </c>
      <c r="B11" s="213"/>
      <c r="C11" s="213" t="s">
        <v>485</v>
      </c>
      <c r="D11" s="213"/>
      <c r="E11" s="213"/>
      <c r="F11" s="213"/>
      <c r="G11" s="213"/>
      <c r="H11" s="249">
        <v>70</v>
      </c>
      <c r="I11" s="249" t="s">
        <v>64</v>
      </c>
    </row>
    <row r="12" spans="1:9" ht="16.5">
      <c r="A12" s="247" t="s">
        <v>508</v>
      </c>
      <c r="B12" s="213"/>
      <c r="C12" s="213" t="s">
        <v>479</v>
      </c>
      <c r="D12" s="213"/>
      <c r="E12" s="213"/>
      <c r="F12" s="213"/>
      <c r="G12" s="213"/>
      <c r="H12" s="249">
        <v>2000</v>
      </c>
      <c r="I12" s="249" t="s">
        <v>64</v>
      </c>
    </row>
    <row r="13" spans="1:9" ht="16.5">
      <c r="A13" s="247" t="s">
        <v>509</v>
      </c>
      <c r="B13" s="213"/>
      <c r="C13" s="213" t="s">
        <v>480</v>
      </c>
      <c r="D13" s="213"/>
      <c r="E13" s="213"/>
      <c r="F13" s="213"/>
      <c r="G13" s="213"/>
      <c r="H13" s="250">
        <v>2.1</v>
      </c>
      <c r="I13" s="249" t="s">
        <v>269</v>
      </c>
    </row>
    <row r="14" spans="1:9" ht="16.5">
      <c r="A14" s="247" t="s">
        <v>510</v>
      </c>
      <c r="B14" s="213"/>
      <c r="C14" s="213" t="s">
        <v>481</v>
      </c>
      <c r="D14" s="213"/>
      <c r="E14" s="213"/>
      <c r="F14" s="213"/>
      <c r="G14" s="213"/>
      <c r="H14" s="250">
        <v>1.1000000000000001</v>
      </c>
      <c r="I14" s="249" t="s">
        <v>269</v>
      </c>
    </row>
    <row r="15" spans="1:9" ht="16.5">
      <c r="A15" s="247" t="s">
        <v>511</v>
      </c>
      <c r="B15" s="213"/>
      <c r="C15" s="213" t="s">
        <v>482</v>
      </c>
      <c r="D15" s="213"/>
      <c r="E15" s="213"/>
      <c r="F15" s="213"/>
      <c r="G15" s="213"/>
      <c r="H15" s="250">
        <v>2.8</v>
      </c>
      <c r="I15" s="249" t="s">
        <v>269</v>
      </c>
    </row>
    <row r="16" spans="1:9" ht="18">
      <c r="A16" s="247" t="s">
        <v>512</v>
      </c>
      <c r="B16" s="213"/>
      <c r="C16" s="213" t="s">
        <v>483</v>
      </c>
      <c r="D16" s="213"/>
      <c r="E16" s="213"/>
      <c r="F16" s="213"/>
      <c r="G16" s="213"/>
      <c r="H16" s="250">
        <v>9.81</v>
      </c>
      <c r="I16" s="249" t="s">
        <v>513</v>
      </c>
    </row>
    <row r="17" spans="1:10" ht="15">
      <c r="A17" s="247" t="s">
        <v>473</v>
      </c>
      <c r="B17" s="213"/>
      <c r="C17" s="213" t="s">
        <v>486</v>
      </c>
      <c r="D17" s="213"/>
      <c r="E17" s="213"/>
      <c r="F17" s="213"/>
      <c r="G17" s="213"/>
      <c r="H17" s="250">
        <v>1</v>
      </c>
      <c r="I17" s="249" t="s">
        <v>265</v>
      </c>
    </row>
    <row r="18" spans="1:10" ht="15">
      <c r="A18" s="247" t="s">
        <v>499</v>
      </c>
      <c r="B18" s="213"/>
      <c r="C18" s="213" t="s">
        <v>503</v>
      </c>
      <c r="D18" s="213"/>
      <c r="E18" s="213"/>
      <c r="F18" s="213"/>
      <c r="G18" s="213"/>
      <c r="H18" s="251">
        <v>4</v>
      </c>
      <c r="I18" s="249"/>
    </row>
    <row r="19" spans="1:10" ht="15">
      <c r="A19" s="247" t="s">
        <v>520</v>
      </c>
      <c r="B19" s="213"/>
      <c r="C19" s="213" t="s">
        <v>503</v>
      </c>
      <c r="D19" s="213"/>
      <c r="E19" s="213"/>
      <c r="F19" s="213"/>
      <c r="G19" s="213"/>
      <c r="H19" s="251">
        <v>2</v>
      </c>
      <c r="I19" s="249"/>
    </row>
    <row r="20" spans="1:10" ht="15">
      <c r="A20" s="247" t="s">
        <v>523</v>
      </c>
      <c r="B20" s="213"/>
      <c r="C20" s="213" t="s">
        <v>503</v>
      </c>
      <c r="D20" s="213"/>
      <c r="E20" s="213"/>
      <c r="F20" s="213"/>
      <c r="G20" s="213"/>
      <c r="H20" s="252">
        <v>1.2</v>
      </c>
      <c r="I20" s="249"/>
    </row>
    <row r="21" spans="1:10" ht="15">
      <c r="A21" s="247" t="s">
        <v>500</v>
      </c>
      <c r="B21" s="213"/>
      <c r="C21" s="213" t="s">
        <v>502</v>
      </c>
      <c r="D21" s="213"/>
      <c r="E21" s="213"/>
      <c r="F21" s="213"/>
      <c r="G21" s="213"/>
      <c r="H21" s="251">
        <v>2</v>
      </c>
      <c r="I21" s="249"/>
    </row>
    <row r="22" spans="1:10" ht="15">
      <c r="A22" s="247" t="s">
        <v>501</v>
      </c>
      <c r="B22" s="213"/>
      <c r="C22" s="213" t="s">
        <v>514</v>
      </c>
      <c r="D22" s="213"/>
      <c r="E22" s="213"/>
      <c r="F22" s="213"/>
      <c r="G22" s="213"/>
      <c r="H22" s="252">
        <v>1.4</v>
      </c>
      <c r="I22" s="249"/>
    </row>
    <row r="24" spans="1:10" ht="12.75" customHeight="1">
      <c r="B24" s="340" t="s">
        <v>487</v>
      </c>
      <c r="C24" s="340"/>
      <c r="D24" s="340"/>
      <c r="E24" s="340"/>
      <c r="F24" s="340"/>
      <c r="G24" s="340"/>
      <c r="H24" s="340"/>
    </row>
    <row r="25" spans="1:10" ht="12.75" customHeight="1">
      <c r="B25" s="340"/>
      <c r="C25" s="340"/>
      <c r="D25" s="340"/>
      <c r="E25" s="340"/>
      <c r="F25" s="340"/>
      <c r="G25" s="340"/>
      <c r="H25" s="340"/>
    </row>
    <row r="26" spans="1:10" ht="12.75" customHeight="1">
      <c r="B26" s="340"/>
      <c r="C26" s="340"/>
      <c r="D26" s="340"/>
      <c r="E26" s="340"/>
      <c r="F26" s="340"/>
      <c r="G26" s="340"/>
      <c r="H26" s="340"/>
    </row>
    <row r="27" spans="1:10" ht="12.75" customHeight="1">
      <c r="B27" s="245"/>
      <c r="C27" s="245"/>
      <c r="D27" s="245"/>
      <c r="E27" s="245"/>
      <c r="F27" s="245"/>
      <c r="G27" s="245"/>
      <c r="H27" s="245"/>
    </row>
    <row r="28" spans="1:10" ht="15">
      <c r="A28" s="246" t="s">
        <v>488</v>
      </c>
      <c r="B28" s="213"/>
      <c r="C28" s="213"/>
      <c r="D28" s="213"/>
      <c r="E28" s="213"/>
      <c r="F28" s="213"/>
      <c r="G28" s="213"/>
      <c r="H28" s="213"/>
      <c r="I28" s="213"/>
    </row>
    <row r="29" spans="1:10" ht="15.75">
      <c r="A29" s="243" t="s">
        <v>489</v>
      </c>
      <c r="B29" s="248" t="s">
        <v>515</v>
      </c>
      <c r="C29" s="248"/>
      <c r="D29" s="242">
        <f>ROUNDUP(J29,-1)</f>
        <v>39250</v>
      </c>
      <c r="E29" s="242" t="s">
        <v>396</v>
      </c>
      <c r="G29" s="248"/>
      <c r="H29" s="248"/>
      <c r="I29" s="248"/>
      <c r="J29">
        <f>H16*H18*(H5+H6)/2+10</f>
        <v>39250</v>
      </c>
    </row>
    <row r="30" spans="1:10" ht="15.75">
      <c r="A30" s="243" t="s">
        <v>490</v>
      </c>
      <c r="B30" s="248" t="s">
        <v>535</v>
      </c>
      <c r="C30" s="248"/>
      <c r="D30" s="242">
        <f>ROUNDUP(J30,-1)</f>
        <v>28450</v>
      </c>
      <c r="E30" s="242" t="s">
        <v>396</v>
      </c>
      <c r="G30" s="248"/>
      <c r="H30" s="248"/>
      <c r="I30" s="248"/>
      <c r="J30">
        <f>H16*H18*(H7*H5+H6)/2</f>
        <v>28449</v>
      </c>
    </row>
    <row r="31" spans="1:10" ht="15.75">
      <c r="A31" s="243" t="s">
        <v>491</v>
      </c>
      <c r="B31" s="248" t="s">
        <v>516</v>
      </c>
      <c r="C31" s="248"/>
      <c r="D31" s="248"/>
      <c r="E31" s="248"/>
      <c r="F31" s="242">
        <f>ROUNDUP(J31,-1)</f>
        <v>30650</v>
      </c>
      <c r="G31" s="242" t="s">
        <v>396</v>
      </c>
      <c r="I31" s="248"/>
      <c r="J31">
        <f>H16*(H21*(H22*H5+H6)/2+H9+H11)+40</f>
        <v>30647.200000000001</v>
      </c>
    </row>
    <row r="32" spans="1:10" ht="15.75">
      <c r="A32" s="243" t="s">
        <v>492</v>
      </c>
      <c r="B32" s="248" t="s">
        <v>519</v>
      </c>
      <c r="C32" s="248"/>
      <c r="D32" s="248"/>
      <c r="E32" s="248"/>
      <c r="F32" s="248"/>
      <c r="G32" s="248"/>
      <c r="H32" s="242">
        <f>ROUNDUP(J32,-2)</f>
        <v>40100</v>
      </c>
      <c r="I32" s="242" t="s">
        <v>396</v>
      </c>
      <c r="J32">
        <f>H16*(H21*(H22*H5+H6)/2+H19*(H7*H5+H6)/3+H8/3+H9)</f>
        <v>40090.199999999997</v>
      </c>
    </row>
    <row r="33" spans="1:10" ht="15.75">
      <c r="A33" s="243" t="s">
        <v>493</v>
      </c>
      <c r="B33" s="248" t="s">
        <v>521</v>
      </c>
      <c r="C33" s="248"/>
      <c r="D33" s="248"/>
      <c r="E33" s="248"/>
      <c r="F33" s="248"/>
      <c r="G33" s="248"/>
      <c r="H33" s="242">
        <f>ROUNDUP(J33,-2)</f>
        <v>23000</v>
      </c>
      <c r="I33" s="242" t="s">
        <v>396</v>
      </c>
      <c r="J33">
        <f>H16*(H19*((H22*H5+H6)/2+(H7*H5+H6))/3+H8/3+H10)</f>
        <v>22922.700000000004</v>
      </c>
    </row>
    <row r="34" spans="1:10" ht="14.25">
      <c r="A34" s="213"/>
      <c r="B34" s="213"/>
      <c r="C34" s="213"/>
      <c r="D34" s="213"/>
      <c r="E34" s="213"/>
      <c r="F34" s="213"/>
      <c r="G34" s="213"/>
      <c r="H34" s="213"/>
      <c r="I34" s="213"/>
    </row>
    <row r="35" spans="1:10" ht="15">
      <c r="A35" s="246" t="s">
        <v>494</v>
      </c>
      <c r="B35" s="213"/>
      <c r="C35" s="213"/>
      <c r="D35" s="213"/>
      <c r="E35" s="213"/>
      <c r="F35" s="213"/>
      <c r="G35" s="213"/>
      <c r="H35" s="213"/>
      <c r="I35" s="213"/>
    </row>
    <row r="36" spans="1:10" ht="15.75">
      <c r="A36" s="243" t="s">
        <v>495</v>
      </c>
      <c r="B36" s="248" t="s">
        <v>522</v>
      </c>
      <c r="C36" s="248"/>
      <c r="D36" s="242">
        <f>ROUNDUP(J36,-1)</f>
        <v>23550</v>
      </c>
      <c r="E36" s="242" t="s">
        <v>396</v>
      </c>
      <c r="F36" s="213"/>
      <c r="G36" s="213"/>
      <c r="H36" s="213"/>
      <c r="I36" s="213"/>
      <c r="J36">
        <f>H16*H20*H12</f>
        <v>23544</v>
      </c>
    </row>
    <row r="37" spans="1:10" ht="14.25">
      <c r="A37" s="213"/>
      <c r="B37" s="213"/>
      <c r="C37" s="213"/>
      <c r="D37" s="213"/>
      <c r="E37" s="213"/>
      <c r="F37" s="213"/>
      <c r="G37" s="213"/>
      <c r="H37" s="213"/>
      <c r="I37" s="213"/>
    </row>
    <row r="38" spans="1:10">
      <c r="A38" s="339" t="s">
        <v>496</v>
      </c>
      <c r="B38" s="339"/>
      <c r="C38" s="339"/>
      <c r="D38" s="339"/>
      <c r="E38" s="339"/>
      <c r="F38" s="339"/>
      <c r="G38" s="339"/>
      <c r="H38" s="339"/>
      <c r="I38" s="339"/>
    </row>
    <row r="39" spans="1:10">
      <c r="A39" s="339"/>
      <c r="B39" s="339"/>
      <c r="C39" s="339"/>
      <c r="D39" s="339"/>
      <c r="E39" s="339"/>
      <c r="F39" s="339"/>
      <c r="G39" s="339"/>
      <c r="H39" s="339"/>
      <c r="I39" s="339"/>
    </row>
    <row r="40" spans="1:10" ht="14.25">
      <c r="A40" s="213"/>
      <c r="B40" s="213"/>
      <c r="C40" s="213"/>
      <c r="D40" s="213"/>
      <c r="E40" s="213"/>
      <c r="F40" s="213"/>
      <c r="G40" s="213"/>
      <c r="H40" s="213"/>
      <c r="I40" s="213"/>
    </row>
    <row r="41" spans="1:10" ht="15.75">
      <c r="A41" s="243" t="s">
        <v>497</v>
      </c>
      <c r="B41" s="248" t="s">
        <v>517</v>
      </c>
      <c r="C41" s="248"/>
      <c r="D41" s="248"/>
      <c r="E41" s="242">
        <f>ROUNDUP(J41,-1)</f>
        <v>1350</v>
      </c>
      <c r="F41" s="242" t="s">
        <v>396</v>
      </c>
      <c r="G41" s="248"/>
      <c r="H41" s="248"/>
      <c r="I41" s="248"/>
      <c r="J41">
        <f>H16*H21*(H22*H5*H14)/(8*H15)</f>
        <v>1348.8750000000005</v>
      </c>
    </row>
    <row r="42" spans="1:10" ht="15.75">
      <c r="A42" s="243" t="s">
        <v>498</v>
      </c>
      <c r="B42" s="248" t="s">
        <v>518</v>
      </c>
      <c r="C42" s="248"/>
      <c r="D42" s="248"/>
      <c r="E42" s="242">
        <f>ROUNDUP(J42,-1)</f>
        <v>1300</v>
      </c>
      <c r="F42" s="242" t="s">
        <v>396</v>
      </c>
      <c r="G42" s="248"/>
      <c r="H42" s="248"/>
      <c r="I42" s="248"/>
      <c r="J42">
        <f>H16*H21*(H22*H5*H13)/(16*H15)+12</f>
        <v>1299.5625000000002</v>
      </c>
    </row>
    <row r="43" spans="1:10" ht="13.5" thickBot="1"/>
    <row r="44" spans="1:10">
      <c r="A44" s="355"/>
      <c r="B44" s="356"/>
      <c r="C44" s="359" t="s">
        <v>448</v>
      </c>
      <c r="D44" s="360"/>
      <c r="E44" s="359" t="s">
        <v>449</v>
      </c>
      <c r="F44" s="361" t="s">
        <v>450</v>
      </c>
      <c r="G44" s="362"/>
      <c r="H44" s="362"/>
      <c r="I44" s="363"/>
    </row>
    <row r="45" spans="1:10" ht="13.5" thickBot="1">
      <c r="A45" s="357"/>
      <c r="B45" s="358"/>
      <c r="C45" s="345"/>
      <c r="D45" s="346"/>
      <c r="E45" s="347"/>
      <c r="F45" s="364"/>
      <c r="G45" s="365"/>
      <c r="H45" s="365"/>
      <c r="I45" s="366"/>
    </row>
    <row r="46" spans="1:10" ht="12.75" customHeight="1">
      <c r="A46" s="341" t="s">
        <v>451</v>
      </c>
      <c r="B46" s="367"/>
      <c r="C46" s="353" t="str">
        <f>ADATLAP!E47</f>
        <v>Odonics Boglárka</v>
      </c>
      <c r="D46" s="354"/>
      <c r="E46" s="349" t="str">
        <f>ADATLAP!E23</f>
        <v>2021.08.19</v>
      </c>
      <c r="F46" s="369" t="str">
        <f>I1</f>
        <v>S-NP3756-00-000-0</v>
      </c>
      <c r="G46" s="370"/>
      <c r="H46" s="370"/>
      <c r="I46" s="371"/>
    </row>
    <row r="47" spans="1:10" ht="13.5" customHeight="1" thickBot="1">
      <c r="A47" s="343"/>
      <c r="B47" s="368"/>
      <c r="C47" s="257" t="s">
        <v>411</v>
      </c>
      <c r="D47" s="256" t="str">
        <f>ADATLAP!E48</f>
        <v>01-15611</v>
      </c>
      <c r="E47" s="350"/>
      <c r="F47" s="372"/>
      <c r="G47" s="373"/>
      <c r="H47" s="373"/>
      <c r="I47" s="374"/>
    </row>
    <row r="48" spans="1:10" ht="12.75" customHeight="1">
      <c r="A48" s="341" t="s">
        <v>452</v>
      </c>
      <c r="B48" s="342"/>
      <c r="C48" s="345" t="s">
        <v>60</v>
      </c>
      <c r="D48" s="346"/>
      <c r="E48" s="349" t="str">
        <f>ADATLAP!E23</f>
        <v>2021.08.19</v>
      </c>
      <c r="F48" s="345" t="s">
        <v>453</v>
      </c>
      <c r="G48" s="351"/>
      <c r="H48" s="351"/>
      <c r="I48" s="346"/>
    </row>
    <row r="49" spans="1:9" ht="13.5" customHeight="1" thickBot="1">
      <c r="A49" s="343"/>
      <c r="B49" s="344"/>
      <c r="C49" s="347"/>
      <c r="D49" s="348"/>
      <c r="E49" s="350"/>
      <c r="F49" s="347"/>
      <c r="G49" s="352"/>
      <c r="H49" s="352"/>
      <c r="I49" s="348"/>
    </row>
  </sheetData>
  <mergeCells count="14">
    <mergeCell ref="A38:I39"/>
    <mergeCell ref="B24:H26"/>
    <mergeCell ref="A48:B49"/>
    <mergeCell ref="C48:D49"/>
    <mergeCell ref="E48:E49"/>
    <mergeCell ref="F48:I49"/>
    <mergeCell ref="C46:D46"/>
    <mergeCell ref="A44:B45"/>
    <mergeCell ref="C44:D45"/>
    <mergeCell ref="E44:E45"/>
    <mergeCell ref="F44:I45"/>
    <mergeCell ref="A46:B47"/>
    <mergeCell ref="E46:E47"/>
    <mergeCell ref="F46:I47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W146"/>
  <sheetViews>
    <sheetView tabSelected="1" view="pageBreakPreview" topLeftCell="A16" zoomScaleNormal="100" zoomScaleSheetLayoutView="100" workbookViewId="0">
      <selection activeCell="G26" sqref="G26"/>
    </sheetView>
  </sheetViews>
  <sheetFormatPr defaultColWidth="9.140625" defaultRowHeight="12.75"/>
  <cols>
    <col min="1" max="1" width="24.5703125" style="52" customWidth="1"/>
    <col min="2" max="2" width="5.85546875" style="54" customWidth="1"/>
    <col min="3" max="3" width="5.7109375" style="54" customWidth="1"/>
    <col min="4" max="4" width="5.42578125" style="54" customWidth="1"/>
    <col min="5" max="9" width="5.7109375" style="54" customWidth="1"/>
    <col min="10" max="10" width="8.5703125" style="52" customWidth="1"/>
    <col min="11" max="11" width="9.28515625" style="52" customWidth="1"/>
    <col min="12" max="12" width="7.28515625" style="52" customWidth="1"/>
    <col min="13" max="13" width="12.28515625" style="53" customWidth="1"/>
    <col min="14" max="14" width="2.5703125" style="52" customWidth="1"/>
    <col min="15" max="15" width="3.28515625" style="52" customWidth="1"/>
    <col min="16" max="16" width="4.140625" style="52" customWidth="1"/>
    <col min="17" max="17" width="4.28515625" style="52" customWidth="1"/>
    <col min="18" max="18" width="4.42578125" style="52" customWidth="1"/>
    <col min="19" max="20" width="4.140625" style="52" customWidth="1"/>
    <col min="21" max="21" width="4.28515625" style="52" customWidth="1"/>
    <col min="22" max="23" width="4" style="52" customWidth="1"/>
    <col min="24" max="24" width="4.140625" style="52" customWidth="1"/>
    <col min="25" max="25" width="3.85546875" style="52" customWidth="1"/>
    <col min="26" max="29" width="4.140625" style="52" customWidth="1"/>
    <col min="30" max="30" width="4.28515625" style="52" customWidth="1"/>
    <col min="31" max="31" width="4.140625" style="52" customWidth="1"/>
    <col min="32" max="35" width="4.28515625" style="52" customWidth="1"/>
    <col min="36" max="38" width="4.140625" style="52" customWidth="1"/>
    <col min="39" max="40" width="4.28515625" style="52" customWidth="1"/>
    <col min="41" max="41" width="4.140625" style="52" customWidth="1"/>
    <col min="42" max="42" width="4" style="52" bestFit="1" customWidth="1"/>
    <col min="43" max="49" width="4.140625" style="52" customWidth="1"/>
    <col min="50" max="16384" width="9.140625" style="52"/>
  </cols>
  <sheetData>
    <row r="1" spans="1:49" ht="15.75">
      <c r="A1" s="398" t="s">
        <v>408</v>
      </c>
      <c r="B1" s="399"/>
      <c r="C1" s="399"/>
      <c r="D1" s="399"/>
      <c r="E1" s="399"/>
      <c r="F1" s="399"/>
      <c r="G1" s="399"/>
      <c r="H1" s="399"/>
      <c r="I1" s="399"/>
      <c r="J1" s="399"/>
      <c r="K1" s="399"/>
      <c r="L1" s="399"/>
      <c r="M1" s="399"/>
    </row>
    <row r="2" spans="1:49" ht="12.6" customHeight="1">
      <c r="A2" s="413" t="s">
        <v>407</v>
      </c>
      <c r="B2" s="414"/>
      <c r="C2" s="414"/>
      <c r="D2" s="414"/>
      <c r="E2" s="414"/>
      <c r="F2" s="414"/>
      <c r="G2" s="414"/>
      <c r="H2" s="414"/>
      <c r="I2" s="414"/>
      <c r="J2" s="414"/>
      <c r="K2" s="414"/>
      <c r="L2" s="414"/>
      <c r="M2" s="414"/>
    </row>
    <row r="3" spans="1:49" ht="12.6" customHeight="1">
      <c r="A3" s="135" t="s">
        <v>406</v>
      </c>
      <c r="B3" s="102"/>
      <c r="C3" s="102"/>
      <c r="D3" s="102"/>
      <c r="E3" s="200" t="s">
        <v>405</v>
      </c>
      <c r="F3" s="201" t="str">
        <f>ADATLAP!E47</f>
        <v>Odonics Boglárka</v>
      </c>
      <c r="G3" s="201"/>
      <c r="H3" s="102"/>
      <c r="I3" s="102"/>
      <c r="J3" s="147"/>
      <c r="K3" s="203" t="s">
        <v>404</v>
      </c>
      <c r="L3" s="400" t="str">
        <f>ADATLAP!E23</f>
        <v>2021.08.19</v>
      </c>
      <c r="M3" s="401"/>
      <c r="P3" s="79" t="s">
        <v>403</v>
      </c>
      <c r="Q3" s="79"/>
      <c r="R3" s="79"/>
      <c r="S3" s="79"/>
      <c r="T3" s="79"/>
      <c r="U3" s="79"/>
      <c r="V3" s="79"/>
      <c r="W3" s="79"/>
      <c r="X3" s="79"/>
      <c r="Y3" s="79"/>
      <c r="Z3" s="79"/>
      <c r="AA3" s="79"/>
      <c r="AB3" s="79"/>
      <c r="AC3" s="79"/>
      <c r="AD3" s="79"/>
      <c r="AE3" s="79"/>
      <c r="AF3" s="79"/>
      <c r="AG3" s="79"/>
      <c r="AH3" s="79"/>
      <c r="AI3" s="79"/>
      <c r="AJ3" s="79"/>
      <c r="AK3" s="79"/>
      <c r="AL3" s="79"/>
      <c r="AM3" s="79"/>
      <c r="AN3" s="77"/>
      <c r="AO3" s="77"/>
      <c r="AP3" s="77"/>
      <c r="AQ3" s="77"/>
      <c r="AR3" s="77"/>
      <c r="AS3" s="77"/>
    </row>
    <row r="4" spans="1:49" ht="12.6" customHeight="1">
      <c r="A4" s="375" t="s">
        <v>402</v>
      </c>
      <c r="B4" s="375"/>
      <c r="C4" s="375"/>
      <c r="D4" s="375"/>
      <c r="E4" s="375"/>
      <c r="F4" s="197" t="str">
        <f>"F-"&amp;MID(ADATLAP!E25,3,16)</f>
        <v>F-NP3756-00-000-0</v>
      </c>
      <c r="G4" s="201"/>
      <c r="H4" s="197"/>
      <c r="I4" s="197"/>
      <c r="J4" s="197"/>
      <c r="K4" s="101"/>
      <c r="L4" s="101"/>
      <c r="M4" s="98"/>
      <c r="P4" s="146" t="s">
        <v>401</v>
      </c>
      <c r="Q4" s="95">
        <v>1</v>
      </c>
      <c r="R4" s="146">
        <v>2</v>
      </c>
      <c r="S4" s="146">
        <v>3</v>
      </c>
      <c r="T4" s="146">
        <v>4</v>
      </c>
      <c r="U4" s="146">
        <v>5</v>
      </c>
      <c r="V4" s="146">
        <v>6</v>
      </c>
      <c r="W4" s="146">
        <v>7</v>
      </c>
      <c r="X4" s="146">
        <v>8</v>
      </c>
      <c r="Y4" s="146">
        <v>9</v>
      </c>
      <c r="Z4" s="146">
        <v>10</v>
      </c>
      <c r="AA4" s="146">
        <v>11</v>
      </c>
      <c r="AB4" s="146">
        <v>12</v>
      </c>
      <c r="AC4" s="146">
        <v>13</v>
      </c>
      <c r="AD4" s="146">
        <v>14</v>
      </c>
      <c r="AE4" s="146">
        <v>15</v>
      </c>
      <c r="AF4" s="146">
        <v>16</v>
      </c>
      <c r="AG4" s="146">
        <v>17</v>
      </c>
      <c r="AH4" s="146">
        <v>18</v>
      </c>
      <c r="AI4" s="146">
        <v>19</v>
      </c>
      <c r="AJ4" s="146">
        <v>20</v>
      </c>
      <c r="AK4" s="146">
        <v>21</v>
      </c>
      <c r="AL4" s="146">
        <v>22</v>
      </c>
      <c r="AM4" s="146">
        <v>23</v>
      </c>
      <c r="AN4" s="146">
        <v>24</v>
      </c>
      <c r="AO4" s="146">
        <v>25</v>
      </c>
      <c r="AP4" s="146">
        <v>26</v>
      </c>
      <c r="AQ4" s="146">
        <v>27</v>
      </c>
      <c r="AR4" s="146">
        <v>28</v>
      </c>
      <c r="AS4" s="146">
        <v>29</v>
      </c>
      <c r="AT4" s="146">
        <v>30</v>
      </c>
      <c r="AU4" s="146">
        <v>31</v>
      </c>
      <c r="AV4" s="146">
        <v>32</v>
      </c>
      <c r="AW4" s="146">
        <v>33</v>
      </c>
    </row>
    <row r="5" spans="1:49" ht="12.6" customHeight="1">
      <c r="A5" s="147" t="s">
        <v>400</v>
      </c>
      <c r="B5" s="147"/>
      <c r="C5" s="147"/>
      <c r="D5" s="147"/>
      <c r="E5" s="147" t="s">
        <v>399</v>
      </c>
      <c r="F5" s="197" t="str">
        <f>ADATLAP!E24</f>
        <v>-</v>
      </c>
      <c r="G5" s="201"/>
      <c r="H5" s="197"/>
      <c r="I5" s="147" t="s">
        <v>398</v>
      </c>
      <c r="J5" s="199" t="s">
        <v>397</v>
      </c>
      <c r="K5" s="198"/>
      <c r="L5" s="197"/>
      <c r="M5" s="98"/>
      <c r="P5" s="146" t="s">
        <v>396</v>
      </c>
      <c r="Q5" s="196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195"/>
      <c r="AD5" s="195"/>
      <c r="AE5" s="195"/>
      <c r="AF5" s="195"/>
      <c r="AG5" s="195"/>
      <c r="AH5" s="195"/>
      <c r="AI5" s="195"/>
      <c r="AJ5" s="195"/>
      <c r="AK5" s="195"/>
      <c r="AL5" s="195"/>
      <c r="AM5" s="195"/>
      <c r="AN5" s="195"/>
      <c r="AO5" s="194"/>
      <c r="AP5" s="194"/>
      <c r="AQ5" s="194"/>
      <c r="AR5" s="194"/>
      <c r="AS5" s="194"/>
      <c r="AT5" s="194"/>
      <c r="AU5" s="194"/>
      <c r="AV5" s="194"/>
      <c r="AW5" s="194"/>
    </row>
    <row r="6" spans="1:49" ht="12.6" customHeight="1">
      <c r="A6" s="101" t="s">
        <v>395</v>
      </c>
      <c r="B6" s="102"/>
      <c r="C6" s="102"/>
      <c r="D6" s="233" t="str">
        <f>ADATLAP!E17</f>
        <v>1076 Budapest, VII. ker. Verseny utca 22-24.</v>
      </c>
      <c r="E6" s="234"/>
      <c r="F6" s="234"/>
      <c r="G6" s="234"/>
      <c r="H6" s="234"/>
      <c r="I6" s="234"/>
      <c r="J6" s="234"/>
      <c r="K6" s="235"/>
      <c r="L6" s="235"/>
      <c r="M6" s="236"/>
      <c r="P6" s="153">
        <v>1</v>
      </c>
      <c r="Q6" s="88">
        <v>1</v>
      </c>
      <c r="R6" s="88">
        <v>1</v>
      </c>
      <c r="S6" s="88">
        <v>1</v>
      </c>
      <c r="T6" s="88">
        <v>1</v>
      </c>
      <c r="U6" s="88">
        <v>1</v>
      </c>
      <c r="V6" s="88">
        <v>1</v>
      </c>
      <c r="W6" s="88">
        <v>1</v>
      </c>
      <c r="X6" s="88">
        <v>1</v>
      </c>
      <c r="Y6" s="88">
        <v>1</v>
      </c>
      <c r="Z6" s="88">
        <v>1</v>
      </c>
      <c r="AA6" s="88">
        <v>1</v>
      </c>
      <c r="AB6" s="88">
        <v>1</v>
      </c>
      <c r="AC6" s="88">
        <v>1</v>
      </c>
      <c r="AD6" s="88">
        <v>1</v>
      </c>
      <c r="AE6" s="88">
        <v>1</v>
      </c>
      <c r="AF6" s="88">
        <v>1</v>
      </c>
      <c r="AG6" s="88">
        <v>1</v>
      </c>
      <c r="AH6" s="88">
        <v>1</v>
      </c>
      <c r="AI6" s="88">
        <v>1</v>
      </c>
      <c r="AJ6" s="88">
        <v>1</v>
      </c>
      <c r="AK6" s="88">
        <v>1</v>
      </c>
      <c r="AL6" s="88">
        <v>1</v>
      </c>
      <c r="AM6" s="88">
        <v>1</v>
      </c>
      <c r="AN6" s="88">
        <v>1</v>
      </c>
      <c r="AO6" s="88">
        <v>1</v>
      </c>
      <c r="AP6" s="88">
        <v>1</v>
      </c>
      <c r="AQ6" s="88">
        <v>1</v>
      </c>
      <c r="AR6" s="88">
        <v>1</v>
      </c>
      <c r="AS6" s="88">
        <v>1</v>
      </c>
      <c r="AT6" s="88">
        <v>1</v>
      </c>
      <c r="AU6" s="88">
        <v>1</v>
      </c>
      <c r="AV6" s="88">
        <v>1</v>
      </c>
      <c r="AW6" s="157">
        <v>1</v>
      </c>
    </row>
    <row r="7" spans="1:49" ht="12.6" customHeight="1">
      <c r="A7" s="101"/>
      <c r="B7" s="102"/>
      <c r="C7" s="102"/>
      <c r="D7" s="395" t="str">
        <f>ADATLAP!E19</f>
        <v>Társasház   - L2 felvonó</v>
      </c>
      <c r="E7" s="395"/>
      <c r="F7" s="395"/>
      <c r="G7" s="395"/>
      <c r="H7" s="395"/>
      <c r="I7" s="395"/>
      <c r="J7" s="395"/>
      <c r="K7" s="395"/>
      <c r="L7" s="395"/>
      <c r="M7" s="395"/>
      <c r="P7" s="146">
        <v>2</v>
      </c>
      <c r="Q7" s="88">
        <v>1</v>
      </c>
      <c r="R7" s="88">
        <v>1</v>
      </c>
      <c r="S7" s="88">
        <v>1</v>
      </c>
      <c r="T7" s="88">
        <v>1</v>
      </c>
      <c r="U7" s="88">
        <v>1</v>
      </c>
      <c r="V7" s="88">
        <v>1</v>
      </c>
      <c r="W7" s="88">
        <v>1</v>
      </c>
      <c r="X7" s="88">
        <v>1</v>
      </c>
      <c r="Y7" s="88">
        <v>1</v>
      </c>
      <c r="Z7" s="88">
        <v>1</v>
      </c>
      <c r="AA7" s="88">
        <v>1</v>
      </c>
      <c r="AB7" s="88">
        <v>1</v>
      </c>
      <c r="AC7" s="88">
        <v>1</v>
      </c>
      <c r="AD7" s="88">
        <v>1</v>
      </c>
      <c r="AE7" s="88">
        <v>1</v>
      </c>
      <c r="AF7" s="88">
        <v>1</v>
      </c>
      <c r="AG7" s="88">
        <v>1</v>
      </c>
      <c r="AH7" s="88">
        <v>1</v>
      </c>
      <c r="AI7" s="88">
        <v>1</v>
      </c>
      <c r="AJ7" s="88">
        <v>1</v>
      </c>
      <c r="AK7" s="88">
        <v>1</v>
      </c>
      <c r="AL7" s="88">
        <v>1</v>
      </c>
      <c r="AM7" s="88">
        <v>1</v>
      </c>
      <c r="AN7" s="88">
        <v>1</v>
      </c>
      <c r="AO7" s="88">
        <v>1</v>
      </c>
      <c r="AP7" s="88">
        <v>1</v>
      </c>
      <c r="AQ7" s="88">
        <v>1</v>
      </c>
      <c r="AR7" s="88">
        <v>1</v>
      </c>
      <c r="AS7" s="88">
        <v>1</v>
      </c>
      <c r="AT7" s="88">
        <v>1</v>
      </c>
      <c r="AU7" s="88">
        <v>1</v>
      </c>
      <c r="AV7" s="88">
        <v>1</v>
      </c>
      <c r="AW7" s="157">
        <v>1</v>
      </c>
    </row>
    <row r="8" spans="1:49" ht="12.6" customHeight="1">
      <c r="A8" s="101" t="s">
        <v>394</v>
      </c>
      <c r="B8" s="102"/>
      <c r="C8" s="193">
        <v>1</v>
      </c>
      <c r="D8" s="192" t="str">
        <f>VLOOKUP(VALUE(C8),Q46:R75,2)</f>
        <v>Lakóház, garzonház, apartmanház</v>
      </c>
      <c r="E8" s="102"/>
      <c r="F8" s="191"/>
      <c r="G8" s="191"/>
      <c r="H8" s="191"/>
      <c r="I8" s="191"/>
      <c r="J8" s="191"/>
      <c r="K8" s="101"/>
      <c r="L8" s="101"/>
      <c r="M8" s="98"/>
      <c r="P8" s="146">
        <v>3</v>
      </c>
      <c r="Q8" s="88">
        <v>1</v>
      </c>
      <c r="R8" s="88">
        <v>1</v>
      </c>
      <c r="S8" s="88">
        <v>1</v>
      </c>
      <c r="T8" s="88">
        <v>1</v>
      </c>
      <c r="U8" s="88">
        <v>1</v>
      </c>
      <c r="V8" s="88">
        <v>1</v>
      </c>
      <c r="W8" s="88">
        <v>1</v>
      </c>
      <c r="X8" s="88">
        <v>1</v>
      </c>
      <c r="Y8" s="88">
        <v>1</v>
      </c>
      <c r="Z8" s="88">
        <v>1</v>
      </c>
      <c r="AA8" s="88">
        <v>1</v>
      </c>
      <c r="AB8" s="88">
        <v>1</v>
      </c>
      <c r="AC8" s="88">
        <v>1</v>
      </c>
      <c r="AD8" s="88">
        <v>1</v>
      </c>
      <c r="AE8" s="88">
        <v>1</v>
      </c>
      <c r="AF8" s="88">
        <v>1</v>
      </c>
      <c r="AG8" s="88">
        <v>1</v>
      </c>
      <c r="AH8" s="88">
        <v>1</v>
      </c>
      <c r="AI8" s="88">
        <v>1</v>
      </c>
      <c r="AJ8" s="88">
        <v>1</v>
      </c>
      <c r="AK8" s="88">
        <v>1</v>
      </c>
      <c r="AL8" s="88">
        <v>1</v>
      </c>
      <c r="AM8" s="88">
        <v>1</v>
      </c>
      <c r="AN8" s="88">
        <v>1</v>
      </c>
      <c r="AO8" s="88">
        <v>1</v>
      </c>
      <c r="AP8" s="88">
        <v>1</v>
      </c>
      <c r="AQ8" s="88">
        <v>1</v>
      </c>
      <c r="AR8" s="88">
        <v>1</v>
      </c>
      <c r="AS8" s="88">
        <v>1</v>
      </c>
      <c r="AT8" s="88">
        <v>1</v>
      </c>
      <c r="AU8" s="88">
        <v>1</v>
      </c>
      <c r="AV8" s="88">
        <v>1</v>
      </c>
      <c r="AW8" s="157">
        <v>1</v>
      </c>
    </row>
    <row r="9" spans="1:49" ht="12.6" customHeight="1">
      <c r="A9" s="101" t="s">
        <v>393</v>
      </c>
      <c r="B9" s="102"/>
      <c r="C9" s="193">
        <v>3</v>
      </c>
      <c r="D9" s="192" t="str">
        <f>VLOOKUP(C9,Q38:R41,2)</f>
        <v>Csekély igényű, korlátozott komfortú középület, közepes komfortú lakóház</v>
      </c>
      <c r="E9" s="191"/>
      <c r="F9" s="191"/>
      <c r="G9" s="191"/>
      <c r="H9" s="191"/>
      <c r="I9" s="191"/>
      <c r="J9" s="191"/>
      <c r="K9" s="190"/>
      <c r="L9" s="190"/>
      <c r="M9" s="98"/>
      <c r="P9" s="146">
        <v>4</v>
      </c>
      <c r="Q9" s="88">
        <v>1</v>
      </c>
      <c r="R9" s="88">
        <v>1</v>
      </c>
      <c r="S9" s="88">
        <v>1</v>
      </c>
      <c r="T9" s="88">
        <v>1</v>
      </c>
      <c r="U9" s="88">
        <v>1</v>
      </c>
      <c r="V9" s="88">
        <v>1</v>
      </c>
      <c r="W9" s="88">
        <v>1.07</v>
      </c>
      <c r="X9" s="88">
        <v>1.1200000000000001</v>
      </c>
      <c r="Y9" s="88">
        <v>1.1399999999999999</v>
      </c>
      <c r="Z9" s="88">
        <v>1.1599999999999999</v>
      </c>
      <c r="AA9" s="88">
        <v>1.17</v>
      </c>
      <c r="AB9" s="88">
        <v>1.18</v>
      </c>
      <c r="AC9" s="88">
        <v>1.19</v>
      </c>
      <c r="AD9" s="88">
        <v>1.19</v>
      </c>
      <c r="AE9" s="88">
        <v>1.19</v>
      </c>
      <c r="AF9" s="88">
        <v>1.19</v>
      </c>
      <c r="AG9" s="88">
        <v>1.2</v>
      </c>
      <c r="AH9" s="88">
        <v>1.2</v>
      </c>
      <c r="AI9" s="88">
        <v>1.2</v>
      </c>
      <c r="AJ9" s="88">
        <v>1.2</v>
      </c>
      <c r="AK9" s="88">
        <v>1.2</v>
      </c>
      <c r="AL9" s="88">
        <v>1.2</v>
      </c>
      <c r="AM9" s="88">
        <v>1.2</v>
      </c>
      <c r="AN9" s="88">
        <v>1.2</v>
      </c>
      <c r="AO9" s="88">
        <v>1.2</v>
      </c>
      <c r="AP9" s="88">
        <v>1.2</v>
      </c>
      <c r="AQ9" s="88">
        <v>1.2</v>
      </c>
      <c r="AR9" s="88">
        <v>1.2</v>
      </c>
      <c r="AS9" s="88">
        <v>1.2</v>
      </c>
      <c r="AT9" s="88">
        <v>1.2</v>
      </c>
      <c r="AU9" s="88">
        <v>1.2</v>
      </c>
      <c r="AV9" s="88">
        <v>1.2</v>
      </c>
      <c r="AW9" s="157">
        <v>1.2</v>
      </c>
    </row>
    <row r="10" spans="1:49" ht="12.6" customHeight="1">
      <c r="A10" s="189" t="s">
        <v>392</v>
      </c>
      <c r="B10" s="188"/>
      <c r="C10" s="188"/>
      <c r="D10" s="188"/>
      <c r="E10" s="187"/>
      <c r="F10" s="187"/>
      <c r="G10" s="187"/>
      <c r="H10" s="187"/>
      <c r="I10" s="187"/>
      <c r="J10" s="187"/>
      <c r="K10" s="186"/>
      <c r="L10" s="186"/>
      <c r="M10" s="231"/>
      <c r="P10" s="146">
        <v>5</v>
      </c>
      <c r="Q10" s="88">
        <v>1</v>
      </c>
      <c r="R10" s="88">
        <v>1</v>
      </c>
      <c r="S10" s="88">
        <v>1</v>
      </c>
      <c r="T10" s="88">
        <v>1</v>
      </c>
      <c r="U10" s="88">
        <v>1</v>
      </c>
      <c r="V10" s="88">
        <v>1.1000000000000001</v>
      </c>
      <c r="W10" s="88">
        <v>1.17</v>
      </c>
      <c r="X10" s="88">
        <v>1.2</v>
      </c>
      <c r="Y10" s="88">
        <v>1.23</v>
      </c>
      <c r="Z10" s="88">
        <v>1.25</v>
      </c>
      <c r="AA10" s="88">
        <v>1.26</v>
      </c>
      <c r="AB10" s="88">
        <v>1.27</v>
      </c>
      <c r="AC10" s="88">
        <v>1.28</v>
      </c>
      <c r="AD10" s="88">
        <v>1.28</v>
      </c>
      <c r="AE10" s="88">
        <v>1.29</v>
      </c>
      <c r="AF10" s="88">
        <v>1.29</v>
      </c>
      <c r="AG10" s="88">
        <v>1.29</v>
      </c>
      <c r="AH10" s="88">
        <v>1.29</v>
      </c>
      <c r="AI10" s="88">
        <v>1.29</v>
      </c>
      <c r="AJ10" s="88">
        <v>1.29</v>
      </c>
      <c r="AK10" s="88">
        <v>1.29</v>
      </c>
      <c r="AL10" s="88">
        <v>1.29</v>
      </c>
      <c r="AM10" s="88">
        <v>1.29</v>
      </c>
      <c r="AN10" s="88">
        <v>1.29</v>
      </c>
      <c r="AO10" s="88">
        <v>1.29</v>
      </c>
      <c r="AP10" s="88">
        <v>1.29</v>
      </c>
      <c r="AQ10" s="88">
        <v>1.29</v>
      </c>
      <c r="AR10" s="88">
        <v>1.29</v>
      </c>
      <c r="AS10" s="88">
        <v>1.29</v>
      </c>
      <c r="AT10" s="88">
        <v>1.29</v>
      </c>
      <c r="AU10" s="88">
        <v>1.29</v>
      </c>
      <c r="AV10" s="88">
        <v>1.29</v>
      </c>
      <c r="AW10" s="157">
        <v>1.29</v>
      </c>
    </row>
    <row r="11" spans="1:49" ht="12.6" customHeight="1">
      <c r="A11" s="185" t="s">
        <v>229</v>
      </c>
      <c r="B11" s="184"/>
      <c r="C11" s="184"/>
      <c r="D11" s="184"/>
      <c r="E11" s="184"/>
      <c r="F11" s="184"/>
      <c r="G11" s="183" t="s">
        <v>391</v>
      </c>
      <c r="H11" s="182">
        <f>L16</f>
        <v>7.5</v>
      </c>
      <c r="I11" s="181" t="s">
        <v>444</v>
      </c>
      <c r="J11" s="180">
        <f>L70</f>
        <v>8.0888328701496324</v>
      </c>
      <c r="K11" s="179" t="s">
        <v>227</v>
      </c>
      <c r="L11" s="178" t="str">
        <f>IF(J11&gt;L16,"&gt;Psz, megfelel","&lt; Psz, nem felel meg")</f>
        <v>&gt;Psz, megfelel</v>
      </c>
      <c r="M11" s="177"/>
      <c r="P11" s="146">
        <v>6</v>
      </c>
      <c r="Q11" s="88">
        <v>1</v>
      </c>
      <c r="R11" s="88">
        <v>1</v>
      </c>
      <c r="S11" s="88">
        <v>1</v>
      </c>
      <c r="T11" s="88">
        <v>1</v>
      </c>
      <c r="U11" s="88">
        <v>1.04</v>
      </c>
      <c r="V11" s="88">
        <v>1.1499999999999999</v>
      </c>
      <c r="W11" s="88">
        <v>1.21</v>
      </c>
      <c r="X11" s="88">
        <v>1.25</v>
      </c>
      <c r="Y11" s="88">
        <v>1.28</v>
      </c>
      <c r="Z11" s="88">
        <v>1.3</v>
      </c>
      <c r="AA11" s="88">
        <v>1.31</v>
      </c>
      <c r="AB11" s="88">
        <v>1.33</v>
      </c>
      <c r="AC11" s="88">
        <v>1.33</v>
      </c>
      <c r="AD11" s="88">
        <v>1.34</v>
      </c>
      <c r="AE11" s="88">
        <v>1.34</v>
      </c>
      <c r="AF11" s="88">
        <v>1.34</v>
      </c>
      <c r="AG11" s="88">
        <v>1.35</v>
      </c>
      <c r="AH11" s="88">
        <v>1.35</v>
      </c>
      <c r="AI11" s="88">
        <v>1.35</v>
      </c>
      <c r="AJ11" s="88">
        <v>1.35</v>
      </c>
      <c r="AK11" s="88">
        <v>1.35</v>
      </c>
      <c r="AL11" s="88">
        <v>1.35</v>
      </c>
      <c r="AM11" s="88">
        <v>1.35</v>
      </c>
      <c r="AN11" s="88">
        <v>1.35</v>
      </c>
      <c r="AO11" s="88">
        <v>1.35</v>
      </c>
      <c r="AP11" s="88">
        <v>1.35</v>
      </c>
      <c r="AQ11" s="88">
        <v>1.35</v>
      </c>
      <c r="AR11" s="88">
        <v>1.35</v>
      </c>
      <c r="AS11" s="88">
        <v>1.35</v>
      </c>
      <c r="AT11" s="88">
        <v>1.35</v>
      </c>
      <c r="AU11" s="88">
        <v>1.35</v>
      </c>
      <c r="AV11" s="88">
        <v>1.35</v>
      </c>
      <c r="AW11" s="157">
        <v>1.35</v>
      </c>
    </row>
    <row r="12" spans="1:49" ht="12.6" customHeight="1">
      <c r="A12" s="185" t="s">
        <v>225</v>
      </c>
      <c r="B12" s="184"/>
      <c r="C12" s="184"/>
      <c r="D12" s="184"/>
      <c r="E12" s="184"/>
      <c r="F12" s="184"/>
      <c r="G12" s="183" t="s">
        <v>390</v>
      </c>
      <c r="H12" s="182">
        <f>L17</f>
        <v>80</v>
      </c>
      <c r="I12" s="181" t="s">
        <v>445</v>
      </c>
      <c r="J12" s="180">
        <f>L71</f>
        <v>79.652443356949249</v>
      </c>
      <c r="K12" s="179" t="s">
        <v>223</v>
      </c>
      <c r="L12" s="178" t="str">
        <f>IF(J12&lt;L17,"&lt; Tk, megfelel","&gt; Tk, nem felel meg")</f>
        <v>&lt; Tk, megfelel</v>
      </c>
      <c r="M12" s="177"/>
      <c r="P12" s="146">
        <v>7</v>
      </c>
      <c r="Q12" s="88">
        <v>1</v>
      </c>
      <c r="R12" s="88">
        <v>1</v>
      </c>
      <c r="S12" s="88">
        <v>1</v>
      </c>
      <c r="T12" s="88">
        <v>1</v>
      </c>
      <c r="U12" s="88">
        <v>1.08</v>
      </c>
      <c r="V12" s="88">
        <v>1.19</v>
      </c>
      <c r="W12" s="88">
        <v>1.24</v>
      </c>
      <c r="X12" s="88">
        <v>1.29</v>
      </c>
      <c r="Y12" s="88">
        <v>1.31</v>
      </c>
      <c r="Z12" s="88">
        <v>1.34</v>
      </c>
      <c r="AA12" s="88">
        <v>1.35</v>
      </c>
      <c r="AB12" s="88">
        <v>1.36</v>
      </c>
      <c r="AC12" s="88">
        <v>1.37</v>
      </c>
      <c r="AD12" s="88">
        <v>1.37</v>
      </c>
      <c r="AE12" s="88">
        <v>1.38</v>
      </c>
      <c r="AF12" s="88">
        <v>1.38</v>
      </c>
      <c r="AG12" s="88">
        <v>1.38</v>
      </c>
      <c r="AH12" s="88">
        <v>1.38</v>
      </c>
      <c r="AI12" s="88">
        <v>1.38</v>
      </c>
      <c r="AJ12" s="88">
        <v>1.39</v>
      </c>
      <c r="AK12" s="88">
        <v>1.39</v>
      </c>
      <c r="AL12" s="88">
        <v>1.39</v>
      </c>
      <c r="AM12" s="88">
        <v>1.39</v>
      </c>
      <c r="AN12" s="88">
        <v>1.39</v>
      </c>
      <c r="AO12" s="88">
        <v>1.39</v>
      </c>
      <c r="AP12" s="88">
        <v>1.39</v>
      </c>
      <c r="AQ12" s="88">
        <v>1.39</v>
      </c>
      <c r="AR12" s="88">
        <v>1.39</v>
      </c>
      <c r="AS12" s="88">
        <v>1.39</v>
      </c>
      <c r="AT12" s="88">
        <v>1.39</v>
      </c>
      <c r="AU12" s="88">
        <v>1.39</v>
      </c>
      <c r="AV12" s="88">
        <v>1.39</v>
      </c>
      <c r="AW12" s="157">
        <v>1.39</v>
      </c>
    </row>
    <row r="13" spans="1:49" ht="12.6" customHeight="1">
      <c r="A13" s="185" t="s">
        <v>298</v>
      </c>
      <c r="B13" s="184"/>
      <c r="C13" s="184"/>
      <c r="D13" s="184"/>
      <c r="E13" s="184"/>
      <c r="F13" s="184"/>
      <c r="G13" s="183" t="s">
        <v>390</v>
      </c>
      <c r="H13" s="182">
        <f>L18</f>
        <v>32</v>
      </c>
      <c r="I13" s="181" t="s">
        <v>446</v>
      </c>
      <c r="J13" s="180">
        <f>L47</f>
        <v>24.26</v>
      </c>
      <c r="K13" s="179" t="s">
        <v>223</v>
      </c>
      <c r="L13" s="178" t="str">
        <f>IF(J13&lt;L18,"&lt; TH, megfelel","&gt; TH, nem felel meg")</f>
        <v>&lt; TH, megfelel</v>
      </c>
      <c r="M13" s="177"/>
      <c r="P13" s="146">
        <v>8</v>
      </c>
      <c r="Q13" s="88">
        <v>1</v>
      </c>
      <c r="R13" s="88">
        <v>1</v>
      </c>
      <c r="S13" s="88">
        <v>1</v>
      </c>
      <c r="T13" s="88">
        <v>1</v>
      </c>
      <c r="U13" s="88">
        <v>1.1100000000000001</v>
      </c>
      <c r="V13" s="88">
        <v>1.21</v>
      </c>
      <c r="W13" s="88">
        <v>1.27</v>
      </c>
      <c r="X13" s="88">
        <v>1.31</v>
      </c>
      <c r="Y13" s="88">
        <v>1.33</v>
      </c>
      <c r="Z13" s="88">
        <v>1.36</v>
      </c>
      <c r="AA13" s="88">
        <v>1.37</v>
      </c>
      <c r="AB13" s="88">
        <v>1.38</v>
      </c>
      <c r="AC13" s="88">
        <v>1.39</v>
      </c>
      <c r="AD13" s="88">
        <v>1.4</v>
      </c>
      <c r="AE13" s="88">
        <v>1.4</v>
      </c>
      <c r="AF13" s="88">
        <v>1.41</v>
      </c>
      <c r="AG13" s="88">
        <v>1.41</v>
      </c>
      <c r="AH13" s="88">
        <v>1.41</v>
      </c>
      <c r="AI13" s="88">
        <v>1.41</v>
      </c>
      <c r="AJ13" s="88">
        <v>1.41</v>
      </c>
      <c r="AK13" s="88">
        <v>1.41</v>
      </c>
      <c r="AL13" s="88">
        <v>1.41</v>
      </c>
      <c r="AM13" s="88">
        <v>1.41</v>
      </c>
      <c r="AN13" s="88">
        <v>1.41</v>
      </c>
      <c r="AO13" s="88">
        <v>1.41</v>
      </c>
      <c r="AP13" s="88">
        <v>1.41</v>
      </c>
      <c r="AQ13" s="88">
        <v>1.41</v>
      </c>
      <c r="AR13" s="88">
        <v>1.41</v>
      </c>
      <c r="AS13" s="88">
        <v>1.41</v>
      </c>
      <c r="AT13" s="88">
        <v>1.41</v>
      </c>
      <c r="AU13" s="88">
        <v>1.41</v>
      </c>
      <c r="AV13" s="88">
        <v>1.41</v>
      </c>
      <c r="AW13" s="157">
        <v>1.41</v>
      </c>
    </row>
    <row r="14" spans="1:49" ht="12.6" customHeight="1">
      <c r="A14" s="176" t="s">
        <v>389</v>
      </c>
      <c r="B14" s="175"/>
      <c r="C14" s="202">
        <v>1</v>
      </c>
      <c r="D14" s="174" t="s">
        <v>265</v>
      </c>
      <c r="E14" s="173">
        <v>1</v>
      </c>
      <c r="F14" s="171" t="s">
        <v>231</v>
      </c>
      <c r="G14" s="172">
        <v>1000</v>
      </c>
      <c r="H14" s="171" t="s">
        <v>388</v>
      </c>
      <c r="I14" s="170">
        <v>13</v>
      </c>
      <c r="J14" s="169" t="s">
        <v>65</v>
      </c>
      <c r="K14" s="169" t="str">
        <f>IF(E14=1,"szimplex","csoportos")</f>
        <v>szimplex</v>
      </c>
      <c r="L14" s="169" t="s">
        <v>387</v>
      </c>
      <c r="M14" s="168"/>
      <c r="P14" s="146">
        <v>9</v>
      </c>
      <c r="Q14" s="88">
        <v>1</v>
      </c>
      <c r="R14" s="88">
        <v>1</v>
      </c>
      <c r="S14" s="88">
        <v>1</v>
      </c>
      <c r="T14" s="88">
        <v>1</v>
      </c>
      <c r="U14" s="88">
        <v>1.1299999999999999</v>
      </c>
      <c r="V14" s="88">
        <v>1.24</v>
      </c>
      <c r="W14" s="88">
        <v>1.28</v>
      </c>
      <c r="X14" s="88">
        <v>1.33</v>
      </c>
      <c r="Y14" s="88">
        <v>1.35</v>
      </c>
      <c r="Z14" s="88">
        <v>1.37</v>
      </c>
      <c r="AA14" s="88">
        <v>1.39</v>
      </c>
      <c r="AB14" s="88">
        <v>1.4</v>
      </c>
      <c r="AC14" s="88">
        <v>1.41</v>
      </c>
      <c r="AD14" s="88">
        <v>1.42</v>
      </c>
      <c r="AE14" s="88">
        <v>1.42</v>
      </c>
      <c r="AF14" s="88">
        <v>1.42</v>
      </c>
      <c r="AG14" s="88">
        <v>1.43</v>
      </c>
      <c r="AH14" s="88">
        <v>1.43</v>
      </c>
      <c r="AI14" s="88">
        <v>1.43</v>
      </c>
      <c r="AJ14" s="88">
        <v>1.43</v>
      </c>
      <c r="AK14" s="88">
        <v>1.43</v>
      </c>
      <c r="AL14" s="88">
        <v>1.43</v>
      </c>
      <c r="AM14" s="88">
        <v>1.43</v>
      </c>
      <c r="AN14" s="88">
        <v>1.43</v>
      </c>
      <c r="AO14" s="88">
        <v>1.43</v>
      </c>
      <c r="AP14" s="88">
        <v>1.43</v>
      </c>
      <c r="AQ14" s="88">
        <v>1.43</v>
      </c>
      <c r="AR14" s="88">
        <v>1.43</v>
      </c>
      <c r="AS14" s="88">
        <v>1.43</v>
      </c>
      <c r="AT14" s="88">
        <v>1.43</v>
      </c>
      <c r="AU14" s="88">
        <v>1.43</v>
      </c>
      <c r="AV14" s="88">
        <v>1.43</v>
      </c>
      <c r="AW14" s="157">
        <v>1.43</v>
      </c>
    </row>
    <row r="15" spans="1:49" ht="12.6" customHeight="1">
      <c r="A15" s="135" t="s">
        <v>386</v>
      </c>
      <c r="B15" s="102"/>
      <c r="C15" s="102"/>
      <c r="D15" s="102"/>
      <c r="E15" s="102"/>
      <c r="F15" s="102"/>
      <c r="G15" s="102"/>
      <c r="H15" s="102"/>
      <c r="I15" s="102"/>
      <c r="J15" s="101"/>
      <c r="K15" s="101"/>
      <c r="L15" s="101"/>
      <c r="M15" s="98"/>
      <c r="P15" s="146">
        <v>10</v>
      </c>
      <c r="Q15" s="88">
        <v>1</v>
      </c>
      <c r="R15" s="88">
        <v>1</v>
      </c>
      <c r="S15" s="88">
        <v>1</v>
      </c>
      <c r="T15" s="88">
        <v>1</v>
      </c>
      <c r="U15" s="88">
        <v>1.1299999999999999</v>
      </c>
      <c r="V15" s="88">
        <v>1.24</v>
      </c>
      <c r="W15" s="88">
        <v>1.3</v>
      </c>
      <c r="X15" s="88">
        <v>1.34</v>
      </c>
      <c r="Y15" s="88">
        <v>1.37</v>
      </c>
      <c r="Z15" s="88">
        <v>1.39</v>
      </c>
      <c r="AA15" s="88">
        <v>1.4</v>
      </c>
      <c r="AB15" s="88">
        <v>1.42</v>
      </c>
      <c r="AC15" s="88">
        <v>1.42</v>
      </c>
      <c r="AD15" s="88">
        <v>1.43</v>
      </c>
      <c r="AE15" s="88">
        <v>1.44</v>
      </c>
      <c r="AF15" s="88">
        <v>1.44</v>
      </c>
      <c r="AG15" s="88">
        <v>1.44</v>
      </c>
      <c r="AH15" s="88">
        <v>1.44</v>
      </c>
      <c r="AI15" s="88">
        <v>1.45</v>
      </c>
      <c r="AJ15" s="88">
        <v>1.45</v>
      </c>
      <c r="AK15" s="88">
        <v>1.45</v>
      </c>
      <c r="AL15" s="88">
        <v>1.45</v>
      </c>
      <c r="AM15" s="88">
        <v>1.45</v>
      </c>
      <c r="AN15" s="88">
        <v>1.45</v>
      </c>
      <c r="AO15" s="88">
        <v>1.45</v>
      </c>
      <c r="AP15" s="88">
        <v>1.45</v>
      </c>
      <c r="AQ15" s="88">
        <v>1.45</v>
      </c>
      <c r="AR15" s="88">
        <v>1.45</v>
      </c>
      <c r="AS15" s="88">
        <v>1.45</v>
      </c>
      <c r="AT15" s="88">
        <v>1.45</v>
      </c>
      <c r="AU15" s="88">
        <v>1.45</v>
      </c>
      <c r="AV15" s="88">
        <v>1.45</v>
      </c>
      <c r="AW15" s="157">
        <v>1.45</v>
      </c>
    </row>
    <row r="16" spans="1:49" ht="12.6" customHeight="1">
      <c r="A16" s="101" t="s">
        <v>385</v>
      </c>
      <c r="B16" s="102"/>
      <c r="C16" s="102"/>
      <c r="D16" s="102"/>
      <c r="E16" s="102"/>
      <c r="F16" s="102"/>
      <c r="G16" s="102"/>
      <c r="H16" s="102"/>
      <c r="I16" s="102"/>
      <c r="J16" s="101"/>
      <c r="K16" s="100" t="s">
        <v>384</v>
      </c>
      <c r="L16" s="167">
        <f>VLOOKUP(VALUE(C8),Q46:AN75,VALUE(C9+16))</f>
        <v>7.5</v>
      </c>
      <c r="M16" s="98" t="s">
        <v>227</v>
      </c>
      <c r="P16" s="146">
        <v>11</v>
      </c>
      <c r="Q16" s="88">
        <v>1</v>
      </c>
      <c r="R16" s="88">
        <v>1</v>
      </c>
      <c r="S16" s="88">
        <v>1</v>
      </c>
      <c r="T16" s="88">
        <v>1</v>
      </c>
      <c r="U16" s="88">
        <v>1.1599999999999999</v>
      </c>
      <c r="V16" s="88">
        <v>1.24</v>
      </c>
      <c r="W16" s="88">
        <v>1.3</v>
      </c>
      <c r="X16" s="88">
        <v>1.35</v>
      </c>
      <c r="Y16" s="88">
        <v>1.38</v>
      </c>
      <c r="Z16" s="88">
        <v>1.4</v>
      </c>
      <c r="AA16" s="88">
        <v>1.41</v>
      </c>
      <c r="AB16" s="88">
        <v>1.43</v>
      </c>
      <c r="AC16" s="88">
        <v>1.43</v>
      </c>
      <c r="AD16" s="88">
        <v>1.44</v>
      </c>
      <c r="AE16" s="88">
        <v>1.45</v>
      </c>
      <c r="AF16" s="88">
        <v>1.45</v>
      </c>
      <c r="AG16" s="88">
        <v>1.45</v>
      </c>
      <c r="AH16" s="88">
        <v>1.46</v>
      </c>
      <c r="AI16" s="88">
        <v>1.46</v>
      </c>
      <c r="AJ16" s="88">
        <v>1.46</v>
      </c>
      <c r="AK16" s="88">
        <v>1.46</v>
      </c>
      <c r="AL16" s="88">
        <v>1.46</v>
      </c>
      <c r="AM16" s="88">
        <v>1.46</v>
      </c>
      <c r="AN16" s="88">
        <v>1.46</v>
      </c>
      <c r="AO16" s="88">
        <v>1.46</v>
      </c>
      <c r="AP16" s="88">
        <v>1.46</v>
      </c>
      <c r="AQ16" s="88">
        <v>1.46</v>
      </c>
      <c r="AR16" s="88">
        <v>1.46</v>
      </c>
      <c r="AS16" s="88">
        <v>1.46</v>
      </c>
      <c r="AT16" s="88">
        <v>1.46</v>
      </c>
      <c r="AU16" s="88">
        <v>1.46</v>
      </c>
      <c r="AV16" s="88">
        <v>1.46</v>
      </c>
      <c r="AW16" s="157">
        <v>1.46</v>
      </c>
    </row>
    <row r="17" spans="1:49" ht="12.6" customHeight="1">
      <c r="A17" s="101" t="s">
        <v>383</v>
      </c>
      <c r="B17" s="102"/>
      <c r="C17" s="102"/>
      <c r="D17" s="102"/>
      <c r="E17" s="102"/>
      <c r="F17" s="102"/>
      <c r="G17" s="102"/>
      <c r="H17" s="102"/>
      <c r="I17" s="102"/>
      <c r="J17" s="101"/>
      <c r="K17" s="100" t="s">
        <v>382</v>
      </c>
      <c r="L17" s="167">
        <f>VLOOKUP(VALUE(C8),Q46:AN75,VALUE(C9+20))</f>
        <v>80</v>
      </c>
      <c r="M17" s="98" t="s">
        <v>223</v>
      </c>
      <c r="P17" s="146">
        <v>12</v>
      </c>
      <c r="Q17" s="88">
        <v>1</v>
      </c>
      <c r="R17" s="88">
        <v>1</v>
      </c>
      <c r="S17" s="88">
        <v>1</v>
      </c>
      <c r="T17" s="88">
        <v>1</v>
      </c>
      <c r="U17" s="88">
        <v>1.1599999999999999</v>
      </c>
      <c r="V17" s="88">
        <v>1.26</v>
      </c>
      <c r="W17" s="88">
        <v>1.31</v>
      </c>
      <c r="X17" s="88">
        <v>1.36</v>
      </c>
      <c r="Y17" s="88">
        <v>1.39</v>
      </c>
      <c r="Z17" s="88">
        <v>1.41</v>
      </c>
      <c r="AA17" s="88">
        <v>1.42</v>
      </c>
      <c r="AB17" s="88">
        <v>1.43</v>
      </c>
      <c r="AC17" s="88">
        <v>1.44</v>
      </c>
      <c r="AD17" s="88">
        <v>1.45</v>
      </c>
      <c r="AE17" s="88">
        <v>1.46</v>
      </c>
      <c r="AF17" s="88">
        <v>1.46</v>
      </c>
      <c r="AG17" s="88">
        <v>1.46</v>
      </c>
      <c r="AH17" s="88">
        <v>1.47</v>
      </c>
      <c r="AI17" s="88">
        <v>1.47</v>
      </c>
      <c r="AJ17" s="88">
        <v>1.47</v>
      </c>
      <c r="AK17" s="88">
        <v>1.47</v>
      </c>
      <c r="AL17" s="88">
        <v>1.47</v>
      </c>
      <c r="AM17" s="88">
        <v>1.47</v>
      </c>
      <c r="AN17" s="88">
        <v>1.47</v>
      </c>
      <c r="AO17" s="88">
        <v>1.47</v>
      </c>
      <c r="AP17" s="88">
        <v>1.47</v>
      </c>
      <c r="AQ17" s="88">
        <v>1.47</v>
      </c>
      <c r="AR17" s="88">
        <v>1.47</v>
      </c>
      <c r="AS17" s="88">
        <v>1.47</v>
      </c>
      <c r="AT17" s="88">
        <v>1.47</v>
      </c>
      <c r="AU17" s="88">
        <v>1.47</v>
      </c>
      <c r="AV17" s="88">
        <v>1.47</v>
      </c>
      <c r="AW17" s="157">
        <v>1.47</v>
      </c>
    </row>
    <row r="18" spans="1:49" ht="12.6" customHeight="1">
      <c r="A18" s="101" t="s">
        <v>381</v>
      </c>
      <c r="B18" s="102"/>
      <c r="C18" s="102"/>
      <c r="D18" s="102"/>
      <c r="E18" s="102"/>
      <c r="F18" s="102"/>
      <c r="G18" s="102"/>
      <c r="H18" s="102"/>
      <c r="I18" s="102"/>
      <c r="J18" s="101"/>
      <c r="K18" s="100" t="s">
        <v>380</v>
      </c>
      <c r="L18" s="122">
        <f>VLOOKUP(VALUE(C9),AH38:AI41,2)</f>
        <v>32</v>
      </c>
      <c r="M18" s="98" t="s">
        <v>223</v>
      </c>
      <c r="P18" s="146">
        <v>13</v>
      </c>
      <c r="Q18" s="88">
        <v>1</v>
      </c>
      <c r="R18" s="88">
        <v>1</v>
      </c>
      <c r="S18" s="88">
        <v>1</v>
      </c>
      <c r="T18" s="88">
        <v>1</v>
      </c>
      <c r="U18" s="88">
        <v>1.18</v>
      </c>
      <c r="V18" s="88">
        <v>1.26</v>
      </c>
      <c r="W18" s="88">
        <v>1.33</v>
      </c>
      <c r="X18" s="88">
        <v>1.36</v>
      </c>
      <c r="Y18" s="88">
        <v>1.39</v>
      </c>
      <c r="Z18" s="88">
        <v>1.41</v>
      </c>
      <c r="AA18" s="88">
        <v>1.43</v>
      </c>
      <c r="AB18" s="88">
        <v>1.44</v>
      </c>
      <c r="AC18" s="88">
        <v>1.45</v>
      </c>
      <c r="AD18" s="88">
        <v>1.46</v>
      </c>
      <c r="AE18" s="88">
        <v>1.46</v>
      </c>
      <c r="AF18" s="88">
        <v>1.47</v>
      </c>
      <c r="AG18" s="88">
        <v>1.47</v>
      </c>
      <c r="AH18" s="88">
        <v>1.47</v>
      </c>
      <c r="AI18" s="88">
        <v>1.47</v>
      </c>
      <c r="AJ18" s="88">
        <v>1.48</v>
      </c>
      <c r="AK18" s="88">
        <v>1.48</v>
      </c>
      <c r="AL18" s="88">
        <v>1.48</v>
      </c>
      <c r="AM18" s="88">
        <v>1.48</v>
      </c>
      <c r="AN18" s="88">
        <v>1.48</v>
      </c>
      <c r="AO18" s="88">
        <v>1.48</v>
      </c>
      <c r="AP18" s="88">
        <v>1.48</v>
      </c>
      <c r="AQ18" s="88">
        <v>1.48</v>
      </c>
      <c r="AR18" s="88">
        <v>1.48</v>
      </c>
      <c r="AS18" s="88">
        <v>1.48</v>
      </c>
      <c r="AT18" s="88">
        <v>1.48</v>
      </c>
      <c r="AU18" s="88">
        <v>1.48</v>
      </c>
      <c r="AV18" s="88">
        <v>1.48</v>
      </c>
      <c r="AW18" s="157">
        <v>1.48</v>
      </c>
    </row>
    <row r="19" spans="1:49" ht="12.6" customHeight="1">
      <c r="A19" s="101" t="s">
        <v>379</v>
      </c>
      <c r="B19" s="102"/>
      <c r="C19" s="102"/>
      <c r="D19" s="102"/>
      <c r="E19" s="102"/>
      <c r="F19" s="102"/>
      <c r="G19" s="102"/>
      <c r="H19" s="166"/>
      <c r="I19" s="102"/>
      <c r="J19" s="101"/>
      <c r="K19" s="100" t="s">
        <v>378</v>
      </c>
      <c r="L19" s="162">
        <f>ADATLAP!E31</f>
        <v>24.26</v>
      </c>
      <c r="M19" s="98" t="s">
        <v>269</v>
      </c>
      <c r="P19" s="146">
        <v>14</v>
      </c>
      <c r="Q19" s="88">
        <v>1</v>
      </c>
      <c r="R19" s="88">
        <v>1</v>
      </c>
      <c r="S19" s="88">
        <v>1</v>
      </c>
      <c r="T19" s="88">
        <v>1</v>
      </c>
      <c r="U19" s="88">
        <v>1.18</v>
      </c>
      <c r="V19" s="88">
        <v>1.27</v>
      </c>
      <c r="W19" s="88">
        <v>1.34</v>
      </c>
      <c r="X19" s="88">
        <v>1.37</v>
      </c>
      <c r="Y19" s="88">
        <v>1.4</v>
      </c>
      <c r="Z19" s="88">
        <v>1.42</v>
      </c>
      <c r="AA19" s="88">
        <v>1.44</v>
      </c>
      <c r="AB19" s="88">
        <v>1.45</v>
      </c>
      <c r="AC19" s="88">
        <v>1.46</v>
      </c>
      <c r="AD19" s="88">
        <v>1.46</v>
      </c>
      <c r="AE19" s="88">
        <v>1.47</v>
      </c>
      <c r="AF19" s="88">
        <v>1.47</v>
      </c>
      <c r="AG19" s="88">
        <v>1.48</v>
      </c>
      <c r="AH19" s="88">
        <v>1.48</v>
      </c>
      <c r="AI19" s="88">
        <v>1.48</v>
      </c>
      <c r="AJ19" s="88">
        <v>1.48</v>
      </c>
      <c r="AK19" s="88">
        <v>1.48</v>
      </c>
      <c r="AL19" s="88">
        <v>1.48</v>
      </c>
      <c r="AM19" s="88">
        <v>1.48</v>
      </c>
      <c r="AN19" s="88">
        <v>1.48</v>
      </c>
      <c r="AO19" s="88">
        <v>1.48</v>
      </c>
      <c r="AP19" s="88">
        <v>1.48</v>
      </c>
      <c r="AQ19" s="88">
        <v>1.48</v>
      </c>
      <c r="AR19" s="88">
        <v>1.48</v>
      </c>
      <c r="AS19" s="88">
        <v>1.48</v>
      </c>
      <c r="AT19" s="88">
        <v>1.48</v>
      </c>
      <c r="AU19" s="88">
        <v>1.48</v>
      </c>
      <c r="AV19" s="88">
        <v>1.48</v>
      </c>
      <c r="AW19" s="157">
        <v>1.48</v>
      </c>
    </row>
    <row r="20" spans="1:49" ht="12.6" customHeight="1">
      <c r="A20" s="101" t="s">
        <v>377</v>
      </c>
      <c r="B20" s="102"/>
      <c r="C20" s="102"/>
      <c r="D20" s="102"/>
      <c r="E20" s="102"/>
      <c r="F20" s="102"/>
      <c r="G20" s="102"/>
      <c r="H20" s="166"/>
      <c r="I20" s="102"/>
      <c r="J20" s="101"/>
      <c r="K20" s="100" t="s">
        <v>376</v>
      </c>
      <c r="L20" s="105">
        <f>ADATLAP!E32</f>
        <v>8</v>
      </c>
      <c r="M20" s="98" t="s">
        <v>231</v>
      </c>
      <c r="P20" s="146">
        <v>15</v>
      </c>
      <c r="Q20" s="88">
        <v>1</v>
      </c>
      <c r="R20" s="88">
        <v>1</v>
      </c>
      <c r="S20" s="88">
        <v>1</v>
      </c>
      <c r="T20" s="88">
        <v>1</v>
      </c>
      <c r="U20" s="88">
        <v>1.18</v>
      </c>
      <c r="V20" s="88">
        <v>1.27</v>
      </c>
      <c r="W20" s="88">
        <v>1.34</v>
      </c>
      <c r="X20" s="88">
        <v>1.38</v>
      </c>
      <c r="Y20" s="88">
        <v>1.41</v>
      </c>
      <c r="Z20" s="88">
        <v>1.43</v>
      </c>
      <c r="AA20" s="88">
        <v>1.44</v>
      </c>
      <c r="AB20" s="88">
        <v>1.45</v>
      </c>
      <c r="AC20" s="88">
        <v>1.46</v>
      </c>
      <c r="AD20" s="88">
        <v>1.47</v>
      </c>
      <c r="AE20" s="88">
        <v>1.47</v>
      </c>
      <c r="AF20" s="88">
        <v>1.48</v>
      </c>
      <c r="AG20" s="88">
        <v>1.48</v>
      </c>
      <c r="AH20" s="88">
        <v>1.48</v>
      </c>
      <c r="AI20" s="88">
        <v>1.49</v>
      </c>
      <c r="AJ20" s="88">
        <v>1.49</v>
      </c>
      <c r="AK20" s="88">
        <v>1.49</v>
      </c>
      <c r="AL20" s="88">
        <v>1.49</v>
      </c>
      <c r="AM20" s="88">
        <v>1.49</v>
      </c>
      <c r="AN20" s="88">
        <v>1.49</v>
      </c>
      <c r="AO20" s="88">
        <v>1.49</v>
      </c>
      <c r="AP20" s="88">
        <v>1.49</v>
      </c>
      <c r="AQ20" s="88">
        <v>1.49</v>
      </c>
      <c r="AR20" s="88">
        <v>1.49</v>
      </c>
      <c r="AS20" s="88">
        <v>1.49</v>
      </c>
      <c r="AT20" s="88">
        <v>1.49</v>
      </c>
      <c r="AU20" s="88">
        <v>1.49</v>
      </c>
      <c r="AV20" s="88">
        <v>1.49</v>
      </c>
      <c r="AW20" s="157">
        <v>1.49</v>
      </c>
    </row>
    <row r="21" spans="1:49" ht="12.6" customHeight="1">
      <c r="A21" s="101" t="s">
        <v>375</v>
      </c>
      <c r="B21" s="102"/>
      <c r="C21" s="102"/>
      <c r="D21" s="102"/>
      <c r="E21" s="102"/>
      <c r="F21" s="102"/>
      <c r="G21" s="102"/>
      <c r="H21" s="102"/>
      <c r="I21" s="102"/>
      <c r="J21" s="101"/>
      <c r="K21" s="100" t="s">
        <v>374</v>
      </c>
      <c r="L21" s="165">
        <v>6</v>
      </c>
      <c r="M21" s="98" t="s">
        <v>231</v>
      </c>
      <c r="P21" s="146">
        <v>16</v>
      </c>
      <c r="Q21" s="88">
        <v>1</v>
      </c>
      <c r="R21" s="88">
        <v>1</v>
      </c>
      <c r="S21" s="88">
        <v>1</v>
      </c>
      <c r="T21" s="88">
        <v>1</v>
      </c>
      <c r="U21" s="88">
        <v>1.18</v>
      </c>
      <c r="V21" s="88">
        <v>1.29</v>
      </c>
      <c r="W21" s="88">
        <v>1.35</v>
      </c>
      <c r="X21" s="88">
        <v>1.38</v>
      </c>
      <c r="Y21" s="88">
        <v>1.41</v>
      </c>
      <c r="Z21" s="88">
        <v>1.43</v>
      </c>
      <c r="AA21" s="88">
        <v>1.44</v>
      </c>
      <c r="AB21" s="88">
        <v>1.45</v>
      </c>
      <c r="AC21" s="88">
        <v>1.47</v>
      </c>
      <c r="AD21" s="88">
        <v>1.47</v>
      </c>
      <c r="AE21" s="88">
        <v>1.48</v>
      </c>
      <c r="AF21" s="88">
        <v>1.48</v>
      </c>
      <c r="AG21" s="88">
        <v>1.49</v>
      </c>
      <c r="AH21" s="88">
        <v>1.49</v>
      </c>
      <c r="AI21" s="88">
        <v>1.49</v>
      </c>
      <c r="AJ21" s="88">
        <v>1.49</v>
      </c>
      <c r="AK21" s="88">
        <v>1.49</v>
      </c>
      <c r="AL21" s="88">
        <v>1.49</v>
      </c>
      <c r="AM21" s="88">
        <v>1.49</v>
      </c>
      <c r="AN21" s="88">
        <v>1.49</v>
      </c>
      <c r="AO21" s="88">
        <v>1.49</v>
      </c>
      <c r="AP21" s="88">
        <v>1.49</v>
      </c>
      <c r="AQ21" s="88">
        <v>1.49</v>
      </c>
      <c r="AR21" s="88">
        <v>1.49</v>
      </c>
      <c r="AS21" s="88">
        <v>1.49</v>
      </c>
      <c r="AT21" s="88">
        <v>1.49</v>
      </c>
      <c r="AU21" s="88">
        <v>1.49</v>
      </c>
      <c r="AV21" s="88">
        <v>1.49</v>
      </c>
      <c r="AW21" s="157">
        <v>1.49</v>
      </c>
    </row>
    <row r="22" spans="1:49" ht="12.6" customHeight="1">
      <c r="A22" s="101" t="s">
        <v>373</v>
      </c>
      <c r="B22" s="102"/>
      <c r="C22" s="102"/>
      <c r="D22" s="102"/>
      <c r="E22" s="102"/>
      <c r="F22" s="102"/>
      <c r="G22" s="102"/>
      <c r="H22" s="102" t="str">
        <f>IF(L22&lt;7," ","◄MÓDOSÍTSD►")</f>
        <v xml:space="preserve"> </v>
      </c>
      <c r="I22" s="102"/>
      <c r="J22" s="101"/>
      <c r="K22" s="100" t="s">
        <v>372</v>
      </c>
      <c r="L22" s="165">
        <v>2</v>
      </c>
      <c r="M22" s="98" t="s">
        <v>231</v>
      </c>
      <c r="P22" s="146">
        <v>17</v>
      </c>
      <c r="Q22" s="88">
        <v>1</v>
      </c>
      <c r="R22" s="88">
        <v>1</v>
      </c>
      <c r="S22" s="88">
        <v>1</v>
      </c>
      <c r="T22" s="88">
        <v>1</v>
      </c>
      <c r="U22" s="88">
        <v>1.2</v>
      </c>
      <c r="V22" s="88">
        <v>1.29</v>
      </c>
      <c r="W22" s="88">
        <v>1.35</v>
      </c>
      <c r="X22" s="88">
        <v>1.39</v>
      </c>
      <c r="Y22" s="88">
        <v>1.41</v>
      </c>
      <c r="Z22" s="88">
        <v>1.43</v>
      </c>
      <c r="AA22" s="88">
        <v>1.45</v>
      </c>
      <c r="AB22" s="88">
        <v>1.46</v>
      </c>
      <c r="AC22" s="88">
        <v>1.47</v>
      </c>
      <c r="AD22" s="88">
        <v>1.48</v>
      </c>
      <c r="AE22" s="88">
        <v>1.48</v>
      </c>
      <c r="AF22" s="88">
        <v>1.49</v>
      </c>
      <c r="AG22" s="88">
        <v>1.49</v>
      </c>
      <c r="AH22" s="88">
        <v>1.49</v>
      </c>
      <c r="AI22" s="88">
        <v>1.49</v>
      </c>
      <c r="AJ22" s="88">
        <v>1.5</v>
      </c>
      <c r="AK22" s="88">
        <v>1.5</v>
      </c>
      <c r="AL22" s="88">
        <v>1.5</v>
      </c>
      <c r="AM22" s="88">
        <v>1.5</v>
      </c>
      <c r="AN22" s="88">
        <v>1.5</v>
      </c>
      <c r="AO22" s="88">
        <v>1.5</v>
      </c>
      <c r="AP22" s="88">
        <v>1.5</v>
      </c>
      <c r="AQ22" s="88">
        <v>1.5</v>
      </c>
      <c r="AR22" s="88">
        <v>1.5</v>
      </c>
      <c r="AS22" s="88">
        <v>1.5</v>
      </c>
      <c r="AT22" s="88">
        <v>1.5</v>
      </c>
      <c r="AU22" s="88">
        <v>1.5</v>
      </c>
      <c r="AV22" s="88">
        <v>1.5</v>
      </c>
      <c r="AW22" s="157">
        <v>1.5</v>
      </c>
    </row>
    <row r="23" spans="1:49" ht="12.6" customHeight="1">
      <c r="A23" s="101" t="s">
        <v>371</v>
      </c>
      <c r="B23" s="102"/>
      <c r="C23" s="102"/>
      <c r="D23" s="102"/>
      <c r="E23" s="102"/>
      <c r="F23" s="102"/>
      <c r="G23" s="102"/>
      <c r="H23" s="102"/>
      <c r="I23" s="102"/>
      <c r="J23" s="101"/>
      <c r="K23" s="100" t="s">
        <v>370</v>
      </c>
      <c r="L23" s="160">
        <v>20.63</v>
      </c>
      <c r="M23" s="98" t="s">
        <v>269</v>
      </c>
      <c r="P23" s="146">
        <v>18</v>
      </c>
      <c r="Q23" s="88">
        <v>1</v>
      </c>
      <c r="R23" s="88">
        <v>1</v>
      </c>
      <c r="S23" s="88">
        <v>1</v>
      </c>
      <c r="T23" s="88">
        <v>1</v>
      </c>
      <c r="U23" s="88">
        <v>1.2</v>
      </c>
      <c r="V23" s="88">
        <v>1.29</v>
      </c>
      <c r="W23" s="88">
        <v>1.35</v>
      </c>
      <c r="X23" s="88">
        <v>1.39</v>
      </c>
      <c r="Y23" s="88">
        <v>1.42</v>
      </c>
      <c r="Z23" s="88">
        <v>1.44</v>
      </c>
      <c r="AA23" s="88">
        <v>1.45</v>
      </c>
      <c r="AB23" s="88">
        <v>1.46</v>
      </c>
      <c r="AC23" s="88">
        <v>1.47</v>
      </c>
      <c r="AD23" s="88">
        <v>1.48</v>
      </c>
      <c r="AE23" s="88">
        <v>1.49</v>
      </c>
      <c r="AF23" s="88">
        <v>1.49</v>
      </c>
      <c r="AG23" s="88">
        <v>1.49</v>
      </c>
      <c r="AH23" s="88">
        <v>1.5</v>
      </c>
      <c r="AI23" s="88">
        <v>1.5</v>
      </c>
      <c r="AJ23" s="88">
        <v>1.5</v>
      </c>
      <c r="AK23" s="88">
        <v>1.5</v>
      </c>
      <c r="AL23" s="88">
        <v>1.5</v>
      </c>
      <c r="AM23" s="88">
        <v>1.5</v>
      </c>
      <c r="AN23" s="88">
        <v>1.5</v>
      </c>
      <c r="AO23" s="88">
        <v>1.5</v>
      </c>
      <c r="AP23" s="88">
        <v>1.5</v>
      </c>
      <c r="AQ23" s="88">
        <v>1.5</v>
      </c>
      <c r="AR23" s="88">
        <v>1.5</v>
      </c>
      <c r="AS23" s="88">
        <v>1.5</v>
      </c>
      <c r="AT23" s="88">
        <v>1.5</v>
      </c>
      <c r="AU23" s="88">
        <v>1.5</v>
      </c>
      <c r="AV23" s="88">
        <v>1.5</v>
      </c>
      <c r="AW23" s="157">
        <v>1.5</v>
      </c>
    </row>
    <row r="24" spans="1:49" ht="12.6" customHeight="1">
      <c r="A24" s="101" t="s">
        <v>369</v>
      </c>
      <c r="B24" s="102"/>
      <c r="C24" s="102"/>
      <c r="D24" s="102"/>
      <c r="E24" s="102"/>
      <c r="F24" s="102"/>
      <c r="G24" s="102"/>
      <c r="H24" s="102"/>
      <c r="I24" s="102"/>
      <c r="J24" s="101"/>
      <c r="K24" s="100" t="s">
        <v>368</v>
      </c>
      <c r="L24" s="165">
        <v>900</v>
      </c>
      <c r="M24" s="98" t="s">
        <v>367</v>
      </c>
      <c r="P24" s="146">
        <v>19</v>
      </c>
      <c r="Q24" s="88">
        <v>1</v>
      </c>
      <c r="R24" s="88">
        <v>1</v>
      </c>
      <c r="S24" s="88">
        <v>1</v>
      </c>
      <c r="T24" s="88">
        <v>1</v>
      </c>
      <c r="U24" s="88">
        <v>1.2</v>
      </c>
      <c r="V24" s="88">
        <v>1.29</v>
      </c>
      <c r="W24" s="88">
        <v>1.35</v>
      </c>
      <c r="X24" s="88">
        <v>1.39</v>
      </c>
      <c r="Y24" s="88">
        <v>1.42</v>
      </c>
      <c r="Z24" s="88">
        <v>1.44</v>
      </c>
      <c r="AA24" s="88">
        <v>1.46</v>
      </c>
      <c r="AB24" s="88">
        <v>1.47</v>
      </c>
      <c r="AC24" s="88">
        <v>1.48</v>
      </c>
      <c r="AD24" s="88">
        <v>1.48</v>
      </c>
      <c r="AE24" s="88">
        <v>1.49</v>
      </c>
      <c r="AF24" s="88">
        <v>1.49</v>
      </c>
      <c r="AG24" s="88">
        <v>1.5</v>
      </c>
      <c r="AH24" s="88">
        <v>1.5</v>
      </c>
      <c r="AI24" s="88">
        <v>1.5</v>
      </c>
      <c r="AJ24" s="88">
        <v>1.5</v>
      </c>
      <c r="AK24" s="88">
        <v>1.5</v>
      </c>
      <c r="AL24" s="88">
        <v>1.51</v>
      </c>
      <c r="AM24" s="88">
        <v>1.51</v>
      </c>
      <c r="AN24" s="88">
        <v>1.51</v>
      </c>
      <c r="AO24" s="88">
        <v>1.51</v>
      </c>
      <c r="AP24" s="88">
        <v>1.51</v>
      </c>
      <c r="AQ24" s="88">
        <v>1.51</v>
      </c>
      <c r="AR24" s="88">
        <v>1.51</v>
      </c>
      <c r="AS24" s="88">
        <v>1.51</v>
      </c>
      <c r="AT24" s="88">
        <v>1.51</v>
      </c>
      <c r="AU24" s="88">
        <v>1.51</v>
      </c>
      <c r="AV24" s="88">
        <v>1.51</v>
      </c>
      <c r="AW24" s="157">
        <v>1.51</v>
      </c>
    </row>
    <row r="25" spans="1:49" ht="12.6" customHeight="1">
      <c r="A25" s="101" t="s">
        <v>366</v>
      </c>
      <c r="B25" s="102"/>
      <c r="C25" s="102"/>
      <c r="D25" s="102"/>
      <c r="E25" s="102"/>
      <c r="F25" s="102"/>
      <c r="G25" s="102"/>
      <c r="H25" s="102"/>
      <c r="I25" s="102"/>
      <c r="J25" s="101"/>
      <c r="K25" s="100"/>
      <c r="L25" s="164">
        <v>3</v>
      </c>
      <c r="M25" s="98"/>
      <c r="P25" s="146">
        <v>20</v>
      </c>
      <c r="Q25" s="88">
        <v>1</v>
      </c>
      <c r="R25" s="88">
        <v>1</v>
      </c>
      <c r="S25" s="88">
        <v>1</v>
      </c>
      <c r="T25" s="88">
        <v>1</v>
      </c>
      <c r="U25" s="88">
        <v>1.2</v>
      </c>
      <c r="V25" s="88">
        <v>1.3</v>
      </c>
      <c r="W25" s="88">
        <v>1.35</v>
      </c>
      <c r="X25" s="88">
        <v>1.39</v>
      </c>
      <c r="Y25" s="88">
        <v>1.42</v>
      </c>
      <c r="Z25" s="88">
        <v>1.44</v>
      </c>
      <c r="AA25" s="88">
        <v>1.46</v>
      </c>
      <c r="AB25" s="88">
        <v>1.47</v>
      </c>
      <c r="AC25" s="88">
        <v>1.48</v>
      </c>
      <c r="AD25" s="88">
        <v>1.49</v>
      </c>
      <c r="AE25" s="88">
        <v>1.49</v>
      </c>
      <c r="AF25" s="88">
        <v>1.5</v>
      </c>
      <c r="AG25" s="88">
        <v>1.5</v>
      </c>
      <c r="AH25" s="88">
        <v>1.5</v>
      </c>
      <c r="AI25" s="88">
        <v>1.5</v>
      </c>
      <c r="AJ25" s="88">
        <v>1.51</v>
      </c>
      <c r="AK25" s="88">
        <v>1.51</v>
      </c>
      <c r="AL25" s="88">
        <v>1.51</v>
      </c>
      <c r="AM25" s="88">
        <v>1.51</v>
      </c>
      <c r="AN25" s="88">
        <v>1.51</v>
      </c>
      <c r="AO25" s="88">
        <v>1.51</v>
      </c>
      <c r="AP25" s="88">
        <v>1.51</v>
      </c>
      <c r="AQ25" s="88">
        <v>1.51</v>
      </c>
      <c r="AR25" s="88">
        <v>1.51</v>
      </c>
      <c r="AS25" s="88">
        <v>1.51</v>
      </c>
      <c r="AT25" s="88">
        <v>1.51</v>
      </c>
      <c r="AU25" s="88">
        <v>1.51</v>
      </c>
      <c r="AV25" s="88">
        <v>1.51</v>
      </c>
      <c r="AW25" s="157">
        <v>1.51</v>
      </c>
    </row>
    <row r="26" spans="1:49" ht="12.6" customHeight="1">
      <c r="A26" s="101" t="s">
        <v>365</v>
      </c>
      <c r="B26" s="102"/>
      <c r="C26" s="102"/>
      <c r="D26" s="102"/>
      <c r="E26" s="102"/>
      <c r="F26" s="102"/>
      <c r="G26" s="102"/>
      <c r="H26" s="102"/>
      <c r="I26" s="102"/>
      <c r="J26" s="101"/>
      <c r="K26" s="100"/>
      <c r="L26" s="164">
        <v>0.84</v>
      </c>
      <c r="M26" s="98" t="s">
        <v>223</v>
      </c>
      <c r="P26" s="146">
        <v>21</v>
      </c>
      <c r="Q26" s="88">
        <v>1</v>
      </c>
      <c r="R26" s="88">
        <v>1</v>
      </c>
      <c r="S26" s="88">
        <v>1</v>
      </c>
      <c r="T26" s="88">
        <v>1</v>
      </c>
      <c r="U26" s="88">
        <v>1.2</v>
      </c>
      <c r="V26" s="88">
        <v>1.3</v>
      </c>
      <c r="W26" s="88">
        <v>1.35</v>
      </c>
      <c r="X26" s="88">
        <v>1.39</v>
      </c>
      <c r="Y26" s="88">
        <v>1.42</v>
      </c>
      <c r="Z26" s="88">
        <v>1.45</v>
      </c>
      <c r="AA26" s="88">
        <v>1.46</v>
      </c>
      <c r="AB26" s="88">
        <v>1.47</v>
      </c>
      <c r="AC26" s="88">
        <v>1.48</v>
      </c>
      <c r="AD26" s="88">
        <v>1.49</v>
      </c>
      <c r="AE26" s="88">
        <v>1.49</v>
      </c>
      <c r="AF26" s="88">
        <v>1.5</v>
      </c>
      <c r="AG26" s="88">
        <v>1.5</v>
      </c>
      <c r="AH26" s="88">
        <v>1.51</v>
      </c>
      <c r="AI26" s="88">
        <v>1.51</v>
      </c>
      <c r="AJ26" s="88">
        <v>1.51</v>
      </c>
      <c r="AK26" s="88">
        <v>1.51</v>
      </c>
      <c r="AL26" s="88">
        <v>1.51</v>
      </c>
      <c r="AM26" s="88">
        <v>1.51</v>
      </c>
      <c r="AN26" s="88">
        <v>1.51</v>
      </c>
      <c r="AO26" s="88">
        <v>1.51</v>
      </c>
      <c r="AP26" s="88">
        <v>1.51</v>
      </c>
      <c r="AQ26" s="88">
        <v>1.51</v>
      </c>
      <c r="AR26" s="88">
        <v>1.51</v>
      </c>
      <c r="AS26" s="88">
        <v>1.51</v>
      </c>
      <c r="AT26" s="88">
        <v>1.51</v>
      </c>
      <c r="AU26" s="88">
        <v>1.51</v>
      </c>
      <c r="AV26" s="88">
        <v>1.51</v>
      </c>
      <c r="AW26" s="157">
        <v>1.51</v>
      </c>
    </row>
    <row r="27" spans="1:49" ht="12.6" customHeight="1">
      <c r="A27" s="101" t="s">
        <v>364</v>
      </c>
      <c r="B27" s="102"/>
      <c r="C27" s="102"/>
      <c r="D27" s="102"/>
      <c r="E27" s="102"/>
      <c r="F27" s="102"/>
      <c r="G27" s="102"/>
      <c r="H27" s="102"/>
      <c r="I27" s="102"/>
      <c r="J27" s="163" t="str">
        <f>IF($L$47&gt;L18,"SEB. NÖV. vagy KOMF.CSÖKK.!►"," ")</f>
        <v xml:space="preserve"> </v>
      </c>
      <c r="K27" s="100" t="s">
        <v>363</v>
      </c>
      <c r="L27" s="162">
        <f>C14</f>
        <v>1</v>
      </c>
      <c r="M27" s="98" t="s">
        <v>265</v>
      </c>
      <c r="P27" s="146">
        <v>22</v>
      </c>
      <c r="Q27" s="88">
        <v>1</v>
      </c>
      <c r="R27" s="88">
        <v>1</v>
      </c>
      <c r="S27" s="88">
        <v>1</v>
      </c>
      <c r="T27" s="88">
        <v>1</v>
      </c>
      <c r="U27" s="88">
        <v>1.2</v>
      </c>
      <c r="V27" s="88">
        <v>1.3</v>
      </c>
      <c r="W27" s="88">
        <v>1.35</v>
      </c>
      <c r="X27" s="88">
        <v>1.4</v>
      </c>
      <c r="Y27" s="88">
        <v>1.43</v>
      </c>
      <c r="Z27" s="88">
        <v>1.45</v>
      </c>
      <c r="AA27" s="88">
        <v>1.46</v>
      </c>
      <c r="AB27" s="88">
        <v>1.47</v>
      </c>
      <c r="AC27" s="88">
        <v>1.48</v>
      </c>
      <c r="AD27" s="88">
        <v>1.49</v>
      </c>
      <c r="AE27" s="88">
        <v>1.5</v>
      </c>
      <c r="AF27" s="88">
        <v>1.5</v>
      </c>
      <c r="AG27" s="88">
        <v>1.5</v>
      </c>
      <c r="AH27" s="88">
        <v>1.51</v>
      </c>
      <c r="AI27" s="88">
        <v>1.51</v>
      </c>
      <c r="AJ27" s="88">
        <v>1.51</v>
      </c>
      <c r="AK27" s="88">
        <v>1.51</v>
      </c>
      <c r="AL27" s="88">
        <v>1.51</v>
      </c>
      <c r="AM27" s="88">
        <v>1.51</v>
      </c>
      <c r="AN27" s="88">
        <v>1.51</v>
      </c>
      <c r="AO27" s="88">
        <v>1.51</v>
      </c>
      <c r="AP27" s="88">
        <v>1.51</v>
      </c>
      <c r="AQ27" s="88">
        <v>1.51</v>
      </c>
      <c r="AR27" s="88">
        <v>1.51</v>
      </c>
      <c r="AS27" s="88">
        <v>1.51</v>
      </c>
      <c r="AT27" s="88">
        <v>1.51</v>
      </c>
      <c r="AU27" s="88">
        <v>1.51</v>
      </c>
      <c r="AV27" s="88">
        <v>1.51</v>
      </c>
      <c r="AW27" s="157">
        <v>1.51</v>
      </c>
    </row>
    <row r="28" spans="1:49" ht="12.6" customHeight="1">
      <c r="A28" s="101" t="s">
        <v>362</v>
      </c>
      <c r="B28" s="102"/>
      <c r="C28" s="102"/>
      <c r="D28" s="102"/>
      <c r="E28" s="102"/>
      <c r="F28" s="102"/>
      <c r="G28" s="102"/>
      <c r="H28" s="161"/>
      <c r="I28" s="102"/>
      <c r="J28" s="101"/>
      <c r="K28" s="100" t="s">
        <v>361</v>
      </c>
      <c r="L28" s="160">
        <v>1</v>
      </c>
      <c r="M28" s="98" t="s">
        <v>360</v>
      </c>
      <c r="P28" s="146">
        <v>23</v>
      </c>
      <c r="Q28" s="88">
        <v>1</v>
      </c>
      <c r="R28" s="88">
        <v>1</v>
      </c>
      <c r="S28" s="88">
        <v>1</v>
      </c>
      <c r="T28" s="88">
        <v>1</v>
      </c>
      <c r="U28" s="88">
        <v>1.2</v>
      </c>
      <c r="V28" s="88">
        <v>1.3</v>
      </c>
      <c r="W28" s="88">
        <v>1.36</v>
      </c>
      <c r="X28" s="88">
        <v>1.4</v>
      </c>
      <c r="Y28" s="88">
        <v>1.43</v>
      </c>
      <c r="Z28" s="88">
        <v>1.45</v>
      </c>
      <c r="AA28" s="88">
        <v>1.46</v>
      </c>
      <c r="AB28" s="88">
        <v>1.48</v>
      </c>
      <c r="AC28" s="88">
        <v>1.49</v>
      </c>
      <c r="AD28" s="88">
        <v>1.49</v>
      </c>
      <c r="AE28" s="88">
        <v>1.5</v>
      </c>
      <c r="AF28" s="88">
        <v>1.5</v>
      </c>
      <c r="AG28" s="88">
        <v>1.51</v>
      </c>
      <c r="AH28" s="88">
        <v>1.51</v>
      </c>
      <c r="AI28" s="88">
        <v>1.51</v>
      </c>
      <c r="AJ28" s="88">
        <v>1.51</v>
      </c>
      <c r="AK28" s="88">
        <v>1.51</v>
      </c>
      <c r="AL28" s="88">
        <v>1.52</v>
      </c>
      <c r="AM28" s="88">
        <v>1.52</v>
      </c>
      <c r="AN28" s="88">
        <v>1.52</v>
      </c>
      <c r="AO28" s="88">
        <v>1.52</v>
      </c>
      <c r="AP28" s="88">
        <v>1.52</v>
      </c>
      <c r="AQ28" s="88">
        <v>1.52</v>
      </c>
      <c r="AR28" s="88">
        <v>1.52</v>
      </c>
      <c r="AS28" s="88">
        <v>1.52</v>
      </c>
      <c r="AT28" s="88">
        <v>1.52</v>
      </c>
      <c r="AU28" s="88">
        <v>1.52</v>
      </c>
      <c r="AV28" s="88">
        <v>1.52</v>
      </c>
      <c r="AW28" s="157">
        <v>1.52</v>
      </c>
    </row>
    <row r="29" spans="1:49" ht="12.6" customHeight="1">
      <c r="A29" s="101" t="s">
        <v>359</v>
      </c>
      <c r="B29" s="102"/>
      <c r="C29" s="102"/>
      <c r="D29" s="102"/>
      <c r="E29" s="102"/>
      <c r="F29" s="102"/>
      <c r="G29" s="102"/>
      <c r="H29" s="102"/>
      <c r="I29" s="102"/>
      <c r="J29" s="101"/>
      <c r="K29" s="100" t="s">
        <v>358</v>
      </c>
      <c r="L29" s="160">
        <v>1.6</v>
      </c>
      <c r="M29" s="98" t="s">
        <v>357</v>
      </c>
      <c r="P29" s="146">
        <v>24</v>
      </c>
      <c r="Q29" s="88">
        <v>1</v>
      </c>
      <c r="R29" s="88">
        <v>1</v>
      </c>
      <c r="S29" s="88">
        <v>1</v>
      </c>
      <c r="T29" s="88">
        <v>1</v>
      </c>
      <c r="U29" s="88">
        <v>1.22</v>
      </c>
      <c r="V29" s="88">
        <v>1.3</v>
      </c>
      <c r="W29" s="88">
        <v>1.36</v>
      </c>
      <c r="X29" s="88">
        <v>1.4</v>
      </c>
      <c r="Y29" s="88">
        <v>1.43</v>
      </c>
      <c r="Z29" s="88">
        <v>1.45</v>
      </c>
      <c r="AA29" s="88">
        <v>1.47</v>
      </c>
      <c r="AB29" s="88">
        <v>1.48</v>
      </c>
      <c r="AC29" s="88">
        <v>1.49</v>
      </c>
      <c r="AD29" s="88">
        <v>1.5</v>
      </c>
      <c r="AE29" s="88">
        <v>1.5</v>
      </c>
      <c r="AF29" s="88">
        <v>1.51</v>
      </c>
      <c r="AG29" s="88">
        <v>1.51</v>
      </c>
      <c r="AH29" s="88">
        <v>1.51</v>
      </c>
      <c r="AI29" s="88">
        <v>1.51</v>
      </c>
      <c r="AJ29" s="88">
        <v>1.52</v>
      </c>
      <c r="AK29" s="88">
        <v>1.52</v>
      </c>
      <c r="AL29" s="88">
        <v>1.52</v>
      </c>
      <c r="AM29" s="88">
        <v>1.52</v>
      </c>
      <c r="AN29" s="88">
        <v>1.52</v>
      </c>
      <c r="AO29" s="88">
        <v>1.52</v>
      </c>
      <c r="AP29" s="88">
        <v>1.52</v>
      </c>
      <c r="AQ29" s="88">
        <v>1.52</v>
      </c>
      <c r="AR29" s="88">
        <v>1.52</v>
      </c>
      <c r="AS29" s="88">
        <v>1.52</v>
      </c>
      <c r="AT29" s="88">
        <v>1.52</v>
      </c>
      <c r="AU29" s="88">
        <v>1.52</v>
      </c>
      <c r="AV29" s="88">
        <v>1.52</v>
      </c>
      <c r="AW29" s="157">
        <v>1.52</v>
      </c>
    </row>
    <row r="30" spans="1:49" ht="12.6" customHeight="1">
      <c r="A30" s="101" t="s">
        <v>356</v>
      </c>
      <c r="B30" s="102"/>
      <c r="C30" s="102"/>
      <c r="D30" s="102"/>
      <c r="E30" s="159" t="str">
        <f>IF(AND($L$22=1,$L30&lt;&gt;0),"MÓD alapáll. v. táv=0►"," ")</f>
        <v xml:space="preserve"> </v>
      </c>
      <c r="F30" s="102"/>
      <c r="G30" s="102"/>
      <c r="H30" s="102"/>
      <c r="J30" s="101"/>
      <c r="K30" s="109" t="s">
        <v>355</v>
      </c>
      <c r="L30" s="149">
        <v>3.63</v>
      </c>
      <c r="M30" s="98" t="s">
        <v>269</v>
      </c>
      <c r="N30" s="158" t="str">
        <f>IF($L$22&gt;1,"&lt;"," ")</f>
        <v>&lt;</v>
      </c>
      <c r="P30" s="146">
        <v>25</v>
      </c>
      <c r="Q30" s="88">
        <v>1</v>
      </c>
      <c r="R30" s="88">
        <v>1</v>
      </c>
      <c r="S30" s="88">
        <v>1</v>
      </c>
      <c r="T30" s="88">
        <v>1</v>
      </c>
      <c r="U30" s="88">
        <v>1.22</v>
      </c>
      <c r="V30" s="88">
        <v>1.3</v>
      </c>
      <c r="W30" s="88">
        <v>1.36</v>
      </c>
      <c r="X30" s="88">
        <v>1.4</v>
      </c>
      <c r="Y30" s="88">
        <v>1.43</v>
      </c>
      <c r="Z30" s="88">
        <v>1.45</v>
      </c>
      <c r="AA30" s="88">
        <v>1.47</v>
      </c>
      <c r="AB30" s="88">
        <v>1.48</v>
      </c>
      <c r="AC30" s="88">
        <v>1.49</v>
      </c>
      <c r="AD30" s="88">
        <v>1.5</v>
      </c>
      <c r="AE30" s="88">
        <v>1.5</v>
      </c>
      <c r="AF30" s="88">
        <v>1.51</v>
      </c>
      <c r="AG30" s="88">
        <v>1.51</v>
      </c>
      <c r="AH30" s="88">
        <v>1.51</v>
      </c>
      <c r="AI30" s="88">
        <v>1.52</v>
      </c>
      <c r="AJ30" s="88">
        <v>1.52</v>
      </c>
      <c r="AK30" s="88">
        <v>1.52</v>
      </c>
      <c r="AL30" s="88">
        <v>1.52</v>
      </c>
      <c r="AM30" s="88">
        <v>1.52</v>
      </c>
      <c r="AN30" s="88">
        <v>1.52</v>
      </c>
      <c r="AO30" s="88">
        <v>1.52</v>
      </c>
      <c r="AP30" s="88">
        <v>1.52</v>
      </c>
      <c r="AQ30" s="88">
        <v>1.52</v>
      </c>
      <c r="AR30" s="88">
        <v>1.52</v>
      </c>
      <c r="AS30" s="88">
        <v>1.52</v>
      </c>
      <c r="AT30" s="88">
        <v>1.52</v>
      </c>
      <c r="AU30" s="88">
        <v>1.52</v>
      </c>
      <c r="AV30" s="88">
        <v>1.52</v>
      </c>
      <c r="AW30" s="157">
        <v>1.52</v>
      </c>
    </row>
    <row r="31" spans="1:49" ht="12.6" customHeight="1">
      <c r="A31" s="101" t="s">
        <v>354</v>
      </c>
      <c r="B31" s="102"/>
      <c r="C31" s="102"/>
      <c r="D31" s="102"/>
      <c r="E31" s="159" t="str">
        <f>IF(AND($L$22=2,$L31&lt;&gt;0),"MÓD alapáll. v. táv=0►"," ")</f>
        <v xml:space="preserve"> </v>
      </c>
      <c r="F31" s="102"/>
      <c r="G31" s="102"/>
      <c r="H31" s="102"/>
      <c r="I31" s="159"/>
      <c r="J31" s="101"/>
      <c r="K31" s="109" t="s">
        <v>353</v>
      </c>
      <c r="L31" s="149"/>
      <c r="M31" s="98" t="s">
        <v>269</v>
      </c>
      <c r="N31" s="158" t="str">
        <f>IF($L$22&gt;2,"&lt;"," ")</f>
        <v xml:space="preserve"> </v>
      </c>
      <c r="P31" s="146">
        <v>26</v>
      </c>
      <c r="Q31" s="88">
        <v>1</v>
      </c>
      <c r="R31" s="88">
        <v>1</v>
      </c>
      <c r="S31" s="88">
        <v>1</v>
      </c>
      <c r="T31" s="88">
        <v>1</v>
      </c>
      <c r="U31" s="88">
        <v>1.22</v>
      </c>
      <c r="V31" s="88">
        <v>1.31</v>
      </c>
      <c r="W31" s="88">
        <v>1.36</v>
      </c>
      <c r="X31" s="88">
        <v>1.41</v>
      </c>
      <c r="Y31" s="88">
        <v>1.43</v>
      </c>
      <c r="Z31" s="88">
        <v>1.45</v>
      </c>
      <c r="AA31" s="88">
        <v>1.47</v>
      </c>
      <c r="AB31" s="88">
        <v>1.48</v>
      </c>
      <c r="AC31" s="88">
        <v>1.49</v>
      </c>
      <c r="AD31" s="88">
        <v>1.5</v>
      </c>
      <c r="AE31" s="88">
        <v>1.5</v>
      </c>
      <c r="AF31" s="88">
        <v>1.51</v>
      </c>
      <c r="AG31" s="88">
        <v>1.51</v>
      </c>
      <c r="AH31" s="88">
        <v>1.51</v>
      </c>
      <c r="AI31" s="88">
        <v>1.52</v>
      </c>
      <c r="AJ31" s="88">
        <v>1.52</v>
      </c>
      <c r="AK31" s="88">
        <v>1.52</v>
      </c>
      <c r="AL31" s="88">
        <v>1.52</v>
      </c>
      <c r="AM31" s="88">
        <v>1.52</v>
      </c>
      <c r="AN31" s="88">
        <v>1.52</v>
      </c>
      <c r="AO31" s="88">
        <v>1.52</v>
      </c>
      <c r="AP31" s="88">
        <v>1.52</v>
      </c>
      <c r="AQ31" s="88">
        <v>1.52</v>
      </c>
      <c r="AR31" s="88">
        <v>1.52</v>
      </c>
      <c r="AS31" s="88">
        <v>1.52</v>
      </c>
      <c r="AT31" s="88">
        <v>1.52</v>
      </c>
      <c r="AU31" s="88">
        <v>1.52</v>
      </c>
      <c r="AV31" s="88">
        <v>1.52</v>
      </c>
      <c r="AW31" s="157">
        <v>1.52</v>
      </c>
    </row>
    <row r="32" spans="1:49" ht="12.6" customHeight="1">
      <c r="A32" s="101" t="s">
        <v>352</v>
      </c>
      <c r="B32" s="102"/>
      <c r="C32" s="102"/>
      <c r="D32" s="102"/>
      <c r="E32" s="159" t="str">
        <f>IF(AND($L$22=3,$L32&lt;&gt;0),"MÓD alapáll. v. táv=0►"," ")</f>
        <v xml:space="preserve"> </v>
      </c>
      <c r="F32" s="102"/>
      <c r="G32" s="102"/>
      <c r="H32" s="102"/>
      <c r="I32" s="159"/>
      <c r="J32" s="101"/>
      <c r="K32" s="109" t="s">
        <v>351</v>
      </c>
      <c r="L32" s="149"/>
      <c r="M32" s="98" t="s">
        <v>269</v>
      </c>
      <c r="N32" s="158" t="str">
        <f>IF($L$22&gt;3,"&lt;"," ")</f>
        <v xml:space="preserve"> </v>
      </c>
      <c r="P32" s="146">
        <v>27</v>
      </c>
      <c r="Q32" s="88">
        <v>1</v>
      </c>
      <c r="R32" s="88">
        <v>1</v>
      </c>
      <c r="S32" s="88">
        <v>1</v>
      </c>
      <c r="T32" s="88">
        <v>1</v>
      </c>
      <c r="U32" s="88">
        <v>1.22</v>
      </c>
      <c r="V32" s="88">
        <v>1.31</v>
      </c>
      <c r="W32" s="88">
        <v>1.36</v>
      </c>
      <c r="X32" s="88">
        <v>1.41</v>
      </c>
      <c r="Y32" s="88">
        <v>1.43</v>
      </c>
      <c r="Z32" s="88">
        <v>1.45</v>
      </c>
      <c r="AA32" s="88">
        <v>1.47</v>
      </c>
      <c r="AB32" s="88">
        <v>1.48</v>
      </c>
      <c r="AC32" s="88">
        <v>1.49</v>
      </c>
      <c r="AD32" s="88">
        <v>1.5</v>
      </c>
      <c r="AE32" s="88">
        <v>1.5</v>
      </c>
      <c r="AF32" s="88">
        <v>1.51</v>
      </c>
      <c r="AG32" s="88">
        <v>1.51</v>
      </c>
      <c r="AH32" s="88">
        <v>1.52</v>
      </c>
      <c r="AI32" s="88">
        <v>1.52</v>
      </c>
      <c r="AJ32" s="88">
        <v>1.52</v>
      </c>
      <c r="AK32" s="88">
        <v>1.52</v>
      </c>
      <c r="AL32" s="88">
        <v>1.52</v>
      </c>
      <c r="AM32" s="88">
        <v>1.52</v>
      </c>
      <c r="AN32" s="88">
        <v>1.52</v>
      </c>
      <c r="AO32" s="88">
        <v>1.52</v>
      </c>
      <c r="AP32" s="88">
        <v>1.52</v>
      </c>
      <c r="AQ32" s="88">
        <v>1.52</v>
      </c>
      <c r="AR32" s="88">
        <v>1.52</v>
      </c>
      <c r="AS32" s="88">
        <v>1.52</v>
      </c>
      <c r="AT32" s="88">
        <v>1.52</v>
      </c>
      <c r="AU32" s="88">
        <v>1.52</v>
      </c>
      <c r="AV32" s="88">
        <v>1.52</v>
      </c>
      <c r="AW32" s="157">
        <v>1.52</v>
      </c>
    </row>
    <row r="33" spans="1:49" ht="12.6" customHeight="1">
      <c r="A33" s="101" t="s">
        <v>350</v>
      </c>
      <c r="B33" s="102"/>
      <c r="C33" s="102"/>
      <c r="D33" s="102"/>
      <c r="E33" s="159" t="str">
        <f>IF(AND($L$22=4,$L33&lt;&gt;0),"MÓD alapáll. v. táv=0►"," ")</f>
        <v xml:space="preserve"> </v>
      </c>
      <c r="F33" s="102"/>
      <c r="G33" s="102"/>
      <c r="H33" s="102"/>
      <c r="I33" s="159"/>
      <c r="J33" s="101"/>
      <c r="K33" s="109" t="s">
        <v>349</v>
      </c>
      <c r="L33" s="149"/>
      <c r="M33" s="98" t="s">
        <v>269</v>
      </c>
      <c r="N33" s="158" t="str">
        <f>IF($L$22&gt;4,"&lt;"," ")</f>
        <v xml:space="preserve"> </v>
      </c>
      <c r="P33" s="146">
        <v>28</v>
      </c>
      <c r="Q33" s="88">
        <v>1</v>
      </c>
      <c r="R33" s="88">
        <v>1</v>
      </c>
      <c r="S33" s="88">
        <v>1</v>
      </c>
      <c r="T33" s="88">
        <v>1</v>
      </c>
      <c r="U33" s="88">
        <v>1.22</v>
      </c>
      <c r="V33" s="88">
        <v>1.31</v>
      </c>
      <c r="W33" s="88">
        <v>1.37</v>
      </c>
      <c r="X33" s="88">
        <v>1.41</v>
      </c>
      <c r="Y33" s="88">
        <v>1.44</v>
      </c>
      <c r="Z33" s="88">
        <v>1.46</v>
      </c>
      <c r="AA33" s="88">
        <v>1.47</v>
      </c>
      <c r="AB33" s="88">
        <v>1.49</v>
      </c>
      <c r="AC33" s="88">
        <v>1.49</v>
      </c>
      <c r="AD33" s="88">
        <v>1.5</v>
      </c>
      <c r="AE33" s="88">
        <v>1.51</v>
      </c>
      <c r="AF33" s="88">
        <v>1.51</v>
      </c>
      <c r="AG33" s="88">
        <v>1.51</v>
      </c>
      <c r="AH33" s="88">
        <v>1.52</v>
      </c>
      <c r="AI33" s="88">
        <v>1.52</v>
      </c>
      <c r="AJ33" s="88">
        <v>1.52</v>
      </c>
      <c r="AK33" s="88">
        <v>1.52</v>
      </c>
      <c r="AL33" s="88">
        <v>1.52</v>
      </c>
      <c r="AM33" s="88">
        <v>1.52</v>
      </c>
      <c r="AN33" s="88">
        <v>1.52</v>
      </c>
      <c r="AO33" s="88">
        <v>1.52</v>
      </c>
      <c r="AP33" s="88">
        <v>1.52</v>
      </c>
      <c r="AQ33" s="88">
        <v>1.52</v>
      </c>
      <c r="AR33" s="88">
        <v>1.52</v>
      </c>
      <c r="AS33" s="88">
        <v>1.52</v>
      </c>
      <c r="AT33" s="88">
        <v>1.52</v>
      </c>
      <c r="AU33" s="88">
        <v>1.52</v>
      </c>
      <c r="AV33" s="88">
        <v>1.52</v>
      </c>
      <c r="AW33" s="157">
        <v>1.52</v>
      </c>
    </row>
    <row r="34" spans="1:49" ht="12.6" customHeight="1">
      <c r="A34" s="101" t="s">
        <v>348</v>
      </c>
      <c r="B34" s="102"/>
      <c r="C34" s="102"/>
      <c r="D34" s="102"/>
      <c r="E34" s="159" t="str">
        <f>IF(AND($L$22=5,$L34&lt;&gt;0),"MÓD alapáll. v. táv=0►"," ")</f>
        <v xml:space="preserve"> </v>
      </c>
      <c r="F34" s="102"/>
      <c r="G34" s="102"/>
      <c r="H34" s="102"/>
      <c r="I34" s="159"/>
      <c r="J34" s="101"/>
      <c r="K34" s="109" t="s">
        <v>347</v>
      </c>
      <c r="L34" s="149"/>
      <c r="M34" s="98" t="s">
        <v>269</v>
      </c>
      <c r="N34" s="158" t="str">
        <f>IF($L$22&gt;5,"&lt;"," ")</f>
        <v xml:space="preserve"> </v>
      </c>
      <c r="P34" s="146">
        <v>29</v>
      </c>
      <c r="Q34" s="88">
        <v>1</v>
      </c>
      <c r="R34" s="88">
        <v>1</v>
      </c>
      <c r="S34" s="88">
        <v>1</v>
      </c>
      <c r="T34" s="88">
        <v>1</v>
      </c>
      <c r="U34" s="88">
        <v>1.22</v>
      </c>
      <c r="V34" s="88">
        <v>1.31</v>
      </c>
      <c r="W34" s="88">
        <v>1.37</v>
      </c>
      <c r="X34" s="88">
        <v>1.41</v>
      </c>
      <c r="Y34" s="88">
        <v>1.44</v>
      </c>
      <c r="Z34" s="88">
        <v>1.46</v>
      </c>
      <c r="AA34" s="88">
        <v>1.47</v>
      </c>
      <c r="AB34" s="88">
        <v>1.49</v>
      </c>
      <c r="AC34" s="88">
        <v>1.5</v>
      </c>
      <c r="AD34" s="88">
        <v>1.5</v>
      </c>
      <c r="AE34" s="88">
        <v>1.51</v>
      </c>
      <c r="AF34" s="88">
        <v>1.51</v>
      </c>
      <c r="AG34" s="88">
        <v>1.52</v>
      </c>
      <c r="AH34" s="88">
        <v>1.52</v>
      </c>
      <c r="AI34" s="88">
        <v>1.52</v>
      </c>
      <c r="AJ34" s="88">
        <v>1.52</v>
      </c>
      <c r="AK34" s="88">
        <v>1.52</v>
      </c>
      <c r="AL34" s="88">
        <v>1.52</v>
      </c>
      <c r="AM34" s="88">
        <v>1.52</v>
      </c>
      <c r="AN34" s="88">
        <v>1.52</v>
      </c>
      <c r="AO34" s="88">
        <v>1.52</v>
      </c>
      <c r="AP34" s="88">
        <v>1.52</v>
      </c>
      <c r="AQ34" s="88">
        <v>1.52</v>
      </c>
      <c r="AR34" s="88">
        <v>1.52</v>
      </c>
      <c r="AS34" s="88">
        <v>1.52</v>
      </c>
      <c r="AT34" s="88">
        <v>1.52</v>
      </c>
      <c r="AU34" s="88">
        <v>1.52</v>
      </c>
      <c r="AV34" s="88">
        <v>1.52</v>
      </c>
      <c r="AW34" s="157">
        <v>1.52</v>
      </c>
    </row>
    <row r="35" spans="1:49" ht="12.6" customHeight="1">
      <c r="A35" s="101" t="s">
        <v>346</v>
      </c>
      <c r="B35" s="102"/>
      <c r="C35" s="102"/>
      <c r="D35" s="102"/>
      <c r="E35" s="102"/>
      <c r="F35" s="102"/>
      <c r="G35" s="102"/>
      <c r="H35" s="102"/>
      <c r="I35" s="102"/>
      <c r="J35" s="101"/>
      <c r="K35" s="100" t="s">
        <v>345</v>
      </c>
      <c r="L35" s="99">
        <f>VLOOKUP(L24,A131:C178,L25)-L26</f>
        <v>5.5600000000000005</v>
      </c>
      <c r="M35" s="98" t="s">
        <v>223</v>
      </c>
      <c r="P35" s="146">
        <v>30</v>
      </c>
      <c r="Q35" s="156">
        <v>1</v>
      </c>
      <c r="R35" s="155">
        <v>1</v>
      </c>
      <c r="S35" s="155">
        <v>1</v>
      </c>
      <c r="T35" s="155">
        <v>1</v>
      </c>
      <c r="U35" s="155">
        <v>1.22</v>
      </c>
      <c r="V35" s="155">
        <v>1.31</v>
      </c>
      <c r="W35" s="155">
        <v>1.37</v>
      </c>
      <c r="X35" s="155">
        <v>1.41</v>
      </c>
      <c r="Y35" s="155">
        <v>1.44</v>
      </c>
      <c r="Z35" s="155">
        <v>1.46</v>
      </c>
      <c r="AA35" s="155">
        <v>1.47</v>
      </c>
      <c r="AB35" s="155">
        <v>1.49</v>
      </c>
      <c r="AC35" s="155">
        <v>1.5</v>
      </c>
      <c r="AD35" s="155">
        <v>1.5</v>
      </c>
      <c r="AE35" s="155">
        <v>1.51</v>
      </c>
      <c r="AF35" s="155">
        <v>1.51</v>
      </c>
      <c r="AG35" s="155">
        <v>1.52</v>
      </c>
      <c r="AH35" s="155">
        <v>1.52</v>
      </c>
      <c r="AI35" s="155">
        <v>1.52</v>
      </c>
      <c r="AJ35" s="155">
        <v>1.52</v>
      </c>
      <c r="AK35" s="155">
        <v>1.52</v>
      </c>
      <c r="AL35" s="155">
        <v>1.53</v>
      </c>
      <c r="AM35" s="155">
        <v>1.53</v>
      </c>
      <c r="AN35" s="155">
        <v>1.53</v>
      </c>
      <c r="AO35" s="155">
        <v>1.53</v>
      </c>
      <c r="AP35" s="155">
        <v>1.53</v>
      </c>
      <c r="AQ35" s="155">
        <v>1.53</v>
      </c>
      <c r="AR35" s="155">
        <v>1.53</v>
      </c>
      <c r="AS35" s="155">
        <v>1.53</v>
      </c>
      <c r="AT35" s="155">
        <v>1.53</v>
      </c>
      <c r="AU35" s="155">
        <v>1.53</v>
      </c>
      <c r="AV35" s="155">
        <v>1.53</v>
      </c>
      <c r="AW35" s="154">
        <v>1.53</v>
      </c>
    </row>
    <row r="36" spans="1:49" ht="12.6" customHeight="1">
      <c r="A36" s="101" t="s">
        <v>344</v>
      </c>
      <c r="B36" s="102"/>
      <c r="C36" s="102"/>
      <c r="D36" s="102"/>
      <c r="E36" s="102"/>
      <c r="F36" s="102"/>
      <c r="G36" s="102"/>
      <c r="H36" s="102"/>
      <c r="I36" s="102"/>
      <c r="J36" s="101"/>
      <c r="K36" s="100" t="s">
        <v>343</v>
      </c>
      <c r="L36" s="99">
        <f>VLOOKUP(L24,K131:L178,2)</f>
        <v>1.1000000000000001</v>
      </c>
      <c r="M36" s="98" t="s">
        <v>223</v>
      </c>
    </row>
    <row r="37" spans="1:49" ht="12.6" customHeight="1" thickBot="1">
      <c r="A37" s="101" t="s">
        <v>342</v>
      </c>
      <c r="B37" s="102"/>
      <c r="C37" s="102"/>
      <c r="D37" s="102"/>
      <c r="E37" s="102"/>
      <c r="F37" s="102"/>
      <c r="G37" s="102"/>
      <c r="H37" s="102"/>
      <c r="I37" s="102"/>
      <c r="J37" s="101"/>
      <c r="K37" s="100" t="s">
        <v>341</v>
      </c>
      <c r="L37" s="99">
        <f>VLOOKUP(L21,P6:AW35,L50+1)</f>
        <v>1</v>
      </c>
      <c r="M37" s="98" t="s">
        <v>223</v>
      </c>
      <c r="Q37" s="392" t="s">
        <v>306</v>
      </c>
      <c r="R37" s="393"/>
      <c r="S37" s="393"/>
      <c r="T37" s="393"/>
      <c r="U37" s="393"/>
      <c r="V37" s="393"/>
      <c r="W37" s="393"/>
      <c r="X37" s="393"/>
      <c r="Y37" s="393"/>
      <c r="Z37" s="393"/>
      <c r="AA37" s="393"/>
      <c r="AB37" s="393"/>
      <c r="AC37" s="393"/>
      <c r="AD37" s="394"/>
      <c r="AE37" s="390" t="s">
        <v>340</v>
      </c>
      <c r="AF37" s="391"/>
    </row>
    <row r="38" spans="1:49" ht="12.6" customHeight="1" thickTop="1">
      <c r="A38" s="101" t="s">
        <v>339</v>
      </c>
      <c r="B38" s="102"/>
      <c r="C38" s="102"/>
      <c r="D38" s="102"/>
      <c r="E38" s="102"/>
      <c r="F38" s="102"/>
      <c r="G38" s="102"/>
      <c r="H38" s="102"/>
      <c r="I38" s="102"/>
      <c r="J38" s="101"/>
      <c r="K38" s="100" t="s">
        <v>338</v>
      </c>
      <c r="L38" s="149">
        <v>0.1</v>
      </c>
      <c r="M38" s="98" t="s">
        <v>223</v>
      </c>
      <c r="Q38" s="117">
        <v>1</v>
      </c>
      <c r="R38" s="153" t="s">
        <v>337</v>
      </c>
      <c r="S38" s="152"/>
      <c r="T38" s="152"/>
      <c r="U38" s="152"/>
      <c r="V38" s="152"/>
      <c r="W38" s="152"/>
      <c r="X38" s="152"/>
      <c r="Y38" s="152"/>
      <c r="Z38" s="152"/>
      <c r="AA38" s="152"/>
      <c r="AB38" s="152"/>
      <c r="AC38" s="152"/>
      <c r="AD38" s="151"/>
      <c r="AE38" s="416">
        <v>20</v>
      </c>
      <c r="AF38" s="417"/>
      <c r="AH38" s="150">
        <v>1</v>
      </c>
      <c r="AI38" s="54">
        <v>20</v>
      </c>
    </row>
    <row r="39" spans="1:49" ht="12.6" customHeight="1">
      <c r="A39" s="101" t="s">
        <v>336</v>
      </c>
      <c r="B39" s="102"/>
      <c r="C39" s="102"/>
      <c r="D39" s="102"/>
      <c r="E39" s="102"/>
      <c r="F39" s="102"/>
      <c r="G39" s="102"/>
      <c r="H39" s="102"/>
      <c r="I39" s="102"/>
      <c r="J39" s="101"/>
      <c r="K39" s="100" t="s">
        <v>335</v>
      </c>
      <c r="L39" s="149">
        <v>0</v>
      </c>
      <c r="M39" s="98" t="s">
        <v>223</v>
      </c>
      <c r="Q39" s="92">
        <v>2</v>
      </c>
      <c r="R39" s="146" t="s">
        <v>334</v>
      </c>
      <c r="S39" s="145"/>
      <c r="T39" s="145"/>
      <c r="U39" s="145"/>
      <c r="V39" s="145"/>
      <c r="W39" s="145"/>
      <c r="X39" s="145"/>
      <c r="Y39" s="145"/>
      <c r="Z39" s="145"/>
      <c r="AA39" s="145"/>
      <c r="AB39" s="145"/>
      <c r="AC39" s="145"/>
      <c r="AD39" s="144"/>
      <c r="AE39" s="388">
        <v>25</v>
      </c>
      <c r="AF39" s="389"/>
      <c r="AH39" s="54">
        <v>2</v>
      </c>
      <c r="AI39" s="54">
        <v>25</v>
      </c>
    </row>
    <row r="40" spans="1:49" ht="12.6" customHeight="1">
      <c r="A40" s="148" t="s">
        <v>333</v>
      </c>
      <c r="B40" s="102"/>
      <c r="C40" s="102"/>
      <c r="D40" s="102"/>
      <c r="E40" s="102"/>
      <c r="F40" s="102"/>
      <c r="G40" s="102"/>
      <c r="H40" s="102"/>
      <c r="I40" s="102"/>
      <c r="J40" s="101"/>
      <c r="K40" s="147"/>
      <c r="L40" s="134"/>
      <c r="M40" s="98"/>
      <c r="Q40" s="92">
        <v>3</v>
      </c>
      <c r="R40" s="146" t="s">
        <v>332</v>
      </c>
      <c r="S40" s="145"/>
      <c r="T40" s="145"/>
      <c r="U40" s="145"/>
      <c r="V40" s="145"/>
      <c r="W40" s="145"/>
      <c r="X40" s="145"/>
      <c r="Y40" s="145"/>
      <c r="Z40" s="145"/>
      <c r="AA40" s="145"/>
      <c r="AB40" s="145"/>
      <c r="AC40" s="145"/>
      <c r="AD40" s="144"/>
      <c r="AE40" s="388">
        <v>32</v>
      </c>
      <c r="AF40" s="389"/>
      <c r="AH40" s="54">
        <v>3</v>
      </c>
      <c r="AI40" s="54">
        <v>32</v>
      </c>
    </row>
    <row r="41" spans="1:49" ht="12.6" customHeight="1">
      <c r="A41" s="101"/>
      <c r="B41" s="141" t="s">
        <v>331</v>
      </c>
      <c r="C41" s="142">
        <v>27.5</v>
      </c>
      <c r="D41" s="141" t="s">
        <v>330</v>
      </c>
      <c r="E41" s="142">
        <v>27.5</v>
      </c>
      <c r="F41" s="141" t="s">
        <v>329</v>
      </c>
      <c r="G41" s="142">
        <v>27.5</v>
      </c>
      <c r="H41" s="141" t="s">
        <v>328</v>
      </c>
      <c r="I41" s="142">
        <v>27.5</v>
      </c>
      <c r="J41" s="141" t="s">
        <v>327</v>
      </c>
      <c r="K41" s="142">
        <v>27.5</v>
      </c>
      <c r="L41" s="101"/>
      <c r="M41" s="139"/>
      <c r="Q41" s="92">
        <v>4</v>
      </c>
      <c r="R41" s="146" t="s">
        <v>326</v>
      </c>
      <c r="S41" s="145"/>
      <c r="T41" s="145"/>
      <c r="U41" s="145"/>
      <c r="V41" s="145"/>
      <c r="W41" s="145"/>
      <c r="X41" s="145"/>
      <c r="Y41" s="145"/>
      <c r="Z41" s="145"/>
      <c r="AA41" s="145"/>
      <c r="AB41" s="145"/>
      <c r="AC41" s="145"/>
      <c r="AD41" s="144"/>
      <c r="AE41" s="388">
        <v>40</v>
      </c>
      <c r="AF41" s="389"/>
      <c r="AH41" s="54">
        <v>4</v>
      </c>
      <c r="AI41" s="54">
        <v>40</v>
      </c>
    </row>
    <row r="42" spans="1:49" ht="12.6" customHeight="1">
      <c r="A42" s="101"/>
      <c r="B42" s="141" t="s">
        <v>325</v>
      </c>
      <c r="C42" s="142"/>
      <c r="D42" s="141" t="s">
        <v>324</v>
      </c>
      <c r="E42" s="142"/>
      <c r="F42" s="141" t="s">
        <v>323</v>
      </c>
      <c r="G42" s="142"/>
      <c r="H42" s="141" t="s">
        <v>322</v>
      </c>
      <c r="I42" s="142"/>
      <c r="J42" s="141" t="s">
        <v>321</v>
      </c>
      <c r="K42" s="142"/>
      <c r="L42" s="101"/>
      <c r="M42" s="139"/>
    </row>
    <row r="43" spans="1:49" ht="12.6" customHeight="1">
      <c r="A43" s="101"/>
      <c r="B43" s="141" t="s">
        <v>320</v>
      </c>
      <c r="C43" s="142"/>
      <c r="D43" s="141" t="s">
        <v>319</v>
      </c>
      <c r="E43" s="142"/>
      <c r="F43" s="141" t="s">
        <v>318</v>
      </c>
      <c r="G43" s="142"/>
      <c r="H43" s="141" t="s">
        <v>317</v>
      </c>
      <c r="I43" s="142"/>
      <c r="J43" s="141" t="s">
        <v>316</v>
      </c>
      <c r="K43" s="142"/>
      <c r="L43" s="101"/>
      <c r="P43" s="88"/>
      <c r="Q43" s="385" t="s">
        <v>315</v>
      </c>
      <c r="R43" s="376" t="s">
        <v>314</v>
      </c>
      <c r="S43" s="377"/>
      <c r="T43" s="377"/>
      <c r="U43" s="377"/>
      <c r="V43" s="377"/>
      <c r="W43" s="377"/>
      <c r="X43" s="377"/>
      <c r="Y43" s="377"/>
      <c r="Z43" s="377"/>
      <c r="AA43" s="377"/>
      <c r="AB43" s="377"/>
      <c r="AC43" s="377"/>
      <c r="AD43" s="377"/>
      <c r="AE43" s="377"/>
      <c r="AF43" s="378"/>
      <c r="AG43" s="388" t="s">
        <v>313</v>
      </c>
      <c r="AH43" s="412"/>
      <c r="AI43" s="412"/>
      <c r="AJ43" s="412"/>
      <c r="AK43" s="415" t="s">
        <v>312</v>
      </c>
      <c r="AL43" s="412"/>
      <c r="AM43" s="412"/>
      <c r="AN43" s="389"/>
    </row>
    <row r="44" spans="1:49" ht="12.6" customHeight="1">
      <c r="A44" s="101"/>
      <c r="B44" s="141" t="s">
        <v>311</v>
      </c>
      <c r="C44" s="142"/>
      <c r="D44" s="141" t="s">
        <v>310</v>
      </c>
      <c r="E44" s="142"/>
      <c r="F44" s="141" t="s">
        <v>309</v>
      </c>
      <c r="G44" s="142"/>
      <c r="H44" s="141" t="s">
        <v>308</v>
      </c>
      <c r="I44" s="142"/>
      <c r="J44" s="141" t="s">
        <v>307</v>
      </c>
      <c r="K44" s="142"/>
      <c r="L44" s="101"/>
      <c r="P44" s="143"/>
      <c r="Q44" s="386"/>
      <c r="R44" s="379"/>
      <c r="S44" s="380"/>
      <c r="T44" s="380"/>
      <c r="U44" s="380"/>
      <c r="V44" s="380"/>
      <c r="W44" s="380"/>
      <c r="X44" s="380"/>
      <c r="Y44" s="380"/>
      <c r="Z44" s="380"/>
      <c r="AA44" s="380"/>
      <c r="AB44" s="380"/>
      <c r="AC44" s="380"/>
      <c r="AD44" s="380"/>
      <c r="AE44" s="380"/>
      <c r="AF44" s="381"/>
      <c r="AG44" s="388" t="s">
        <v>306</v>
      </c>
      <c r="AH44" s="412"/>
      <c r="AI44" s="412"/>
      <c r="AJ44" s="412"/>
      <c r="AK44" s="412"/>
      <c r="AL44" s="412"/>
      <c r="AM44" s="412"/>
      <c r="AN44" s="389"/>
    </row>
    <row r="45" spans="1:49" ht="12.6" customHeight="1" thickBot="1">
      <c r="A45" s="101"/>
      <c r="B45" s="141" t="s">
        <v>305</v>
      </c>
      <c r="C45" s="142"/>
      <c r="D45" s="141" t="s">
        <v>304</v>
      </c>
      <c r="E45" s="142"/>
      <c r="F45" s="141" t="s">
        <v>303</v>
      </c>
      <c r="G45" s="142"/>
      <c r="H45" s="141" t="s">
        <v>302</v>
      </c>
      <c r="I45" s="142"/>
      <c r="J45" s="141" t="s">
        <v>301</v>
      </c>
      <c r="K45" s="140">
        <v>11.5</v>
      </c>
      <c r="L45" s="101"/>
      <c r="M45" s="139"/>
      <c r="O45" s="52">
        <v>40</v>
      </c>
      <c r="Q45" s="387"/>
      <c r="R45" s="382"/>
      <c r="S45" s="383"/>
      <c r="T45" s="383"/>
      <c r="U45" s="383"/>
      <c r="V45" s="383"/>
      <c r="W45" s="383"/>
      <c r="X45" s="383"/>
      <c r="Y45" s="383"/>
      <c r="Z45" s="383"/>
      <c r="AA45" s="383"/>
      <c r="AB45" s="383"/>
      <c r="AC45" s="383"/>
      <c r="AD45" s="383"/>
      <c r="AE45" s="383"/>
      <c r="AF45" s="384"/>
      <c r="AG45" s="136" t="s">
        <v>1</v>
      </c>
      <c r="AH45" s="136" t="s">
        <v>2</v>
      </c>
      <c r="AI45" s="136" t="s">
        <v>3</v>
      </c>
      <c r="AJ45" s="138" t="s">
        <v>4</v>
      </c>
      <c r="AK45" s="137" t="s">
        <v>1</v>
      </c>
      <c r="AL45" s="136" t="s">
        <v>2</v>
      </c>
      <c r="AM45" s="136" t="s">
        <v>3</v>
      </c>
      <c r="AN45" s="136" t="s">
        <v>4</v>
      </c>
    </row>
    <row r="46" spans="1:49" ht="12.6" customHeight="1" thickTop="1">
      <c r="A46" s="135" t="s">
        <v>300</v>
      </c>
      <c r="B46" s="102"/>
      <c r="C46" s="102"/>
      <c r="D46" s="102"/>
      <c r="E46" s="102"/>
      <c r="F46" s="102"/>
      <c r="G46" s="102"/>
      <c r="H46" s="102"/>
      <c r="I46" s="102"/>
      <c r="J46" s="101"/>
      <c r="K46" s="101"/>
      <c r="L46" s="134"/>
      <c r="M46" s="98"/>
      <c r="P46" s="88"/>
      <c r="Q46" s="117">
        <v>1</v>
      </c>
      <c r="R46" s="133" t="s">
        <v>299</v>
      </c>
      <c r="S46" s="132"/>
      <c r="T46" s="132"/>
      <c r="U46" s="132"/>
      <c r="V46" s="132"/>
      <c r="W46" s="132"/>
      <c r="X46" s="132"/>
      <c r="Y46" s="132"/>
      <c r="Z46" s="132"/>
      <c r="AA46" s="132"/>
      <c r="AB46" s="132"/>
      <c r="AC46" s="132"/>
      <c r="AD46" s="132"/>
      <c r="AE46" s="132"/>
      <c r="AF46" s="131"/>
      <c r="AG46" s="117"/>
      <c r="AH46" s="117">
        <v>7.5</v>
      </c>
      <c r="AI46" s="117">
        <v>7.5</v>
      </c>
      <c r="AJ46" s="94">
        <v>7.5</v>
      </c>
      <c r="AK46" s="118"/>
      <c r="AL46" s="117">
        <v>60</v>
      </c>
      <c r="AM46" s="117">
        <v>80</v>
      </c>
      <c r="AN46" s="117">
        <v>100</v>
      </c>
    </row>
    <row r="47" spans="1:49" ht="12.6" customHeight="1">
      <c r="A47" s="101" t="s">
        <v>298</v>
      </c>
      <c r="B47" s="102"/>
      <c r="C47" s="102"/>
      <c r="D47" s="102"/>
      <c r="E47" s="102"/>
      <c r="F47" s="102"/>
      <c r="G47" s="102"/>
      <c r="H47" s="102"/>
      <c r="I47" s="102"/>
      <c r="J47" s="101"/>
      <c r="K47" s="109" t="s">
        <v>297</v>
      </c>
      <c r="L47" s="99">
        <f>L19/L27</f>
        <v>24.26</v>
      </c>
      <c r="M47" s="98" t="s">
        <v>223</v>
      </c>
      <c r="O47" s="79"/>
      <c r="P47" s="88"/>
      <c r="Q47" s="92">
        <v>2</v>
      </c>
      <c r="R47" s="97" t="s">
        <v>296</v>
      </c>
      <c r="S47" s="96"/>
      <c r="T47" s="96"/>
      <c r="U47" s="96"/>
      <c r="V47" s="96"/>
      <c r="W47" s="96"/>
      <c r="X47" s="96"/>
      <c r="Y47" s="96"/>
      <c r="Z47" s="96"/>
      <c r="AA47" s="96"/>
      <c r="AB47" s="96"/>
      <c r="AC47" s="96"/>
      <c r="AD47" s="96"/>
      <c r="AE47" s="96"/>
      <c r="AF47" s="95"/>
      <c r="AG47" s="92"/>
      <c r="AH47" s="92">
        <v>12</v>
      </c>
      <c r="AI47" s="92">
        <v>10</v>
      </c>
      <c r="AJ47" s="129">
        <v>8</v>
      </c>
      <c r="AK47" s="93"/>
      <c r="AL47" s="92">
        <v>60</v>
      </c>
      <c r="AM47" s="92">
        <v>70</v>
      </c>
      <c r="AN47" s="92">
        <v>80</v>
      </c>
      <c r="AQ47" s="77"/>
      <c r="AR47" s="77"/>
    </row>
    <row r="48" spans="1:49" ht="12.6" customHeight="1">
      <c r="A48" s="101" t="s">
        <v>295</v>
      </c>
      <c r="B48" s="102"/>
      <c r="C48" s="102"/>
      <c r="D48" s="102"/>
      <c r="E48" s="102"/>
      <c r="F48" s="102"/>
      <c r="G48" s="102"/>
      <c r="H48" s="102"/>
      <c r="I48" s="102"/>
      <c r="J48" s="101"/>
      <c r="K48" s="100" t="s">
        <v>294</v>
      </c>
      <c r="L48" s="130">
        <f>SUM(C41:K45)</f>
        <v>149</v>
      </c>
      <c r="M48" s="98" t="s">
        <v>65</v>
      </c>
      <c r="O48" s="79"/>
      <c r="P48" s="88"/>
      <c r="Q48" s="92">
        <v>3</v>
      </c>
      <c r="R48" s="97" t="s">
        <v>293</v>
      </c>
      <c r="S48" s="96"/>
      <c r="T48" s="96"/>
      <c r="U48" s="96"/>
      <c r="V48" s="96"/>
      <c r="W48" s="96"/>
      <c r="X48" s="96"/>
      <c r="Y48" s="96"/>
      <c r="Z48" s="96"/>
      <c r="AA48" s="96"/>
      <c r="AB48" s="96"/>
      <c r="AC48" s="96"/>
      <c r="AD48" s="96"/>
      <c r="AE48" s="96"/>
      <c r="AF48" s="95"/>
      <c r="AG48" s="92"/>
      <c r="AH48" s="92">
        <v>15</v>
      </c>
      <c r="AI48" s="92">
        <v>12.5</v>
      </c>
      <c r="AJ48" s="129">
        <v>10</v>
      </c>
      <c r="AK48" s="93"/>
      <c r="AL48" s="92">
        <v>60</v>
      </c>
      <c r="AM48" s="92">
        <v>70</v>
      </c>
      <c r="AN48" s="92">
        <v>80</v>
      </c>
      <c r="AQ48" s="79"/>
      <c r="AR48" s="79"/>
    </row>
    <row r="49" spans="1:44" ht="12.6" customHeight="1" thickBot="1">
      <c r="A49" s="101" t="s">
        <v>292</v>
      </c>
      <c r="B49" s="102"/>
      <c r="C49" s="102"/>
      <c r="D49" s="102"/>
      <c r="E49" s="102"/>
      <c r="F49" s="102"/>
      <c r="G49" s="102"/>
      <c r="H49" s="102"/>
      <c r="I49" s="102"/>
      <c r="J49" s="101"/>
      <c r="K49" s="100" t="s">
        <v>291</v>
      </c>
      <c r="L49" s="99">
        <f>+L48*L16*L17/24000</f>
        <v>3.7250000000000001</v>
      </c>
      <c r="M49" s="98" t="s">
        <v>65</v>
      </c>
      <c r="O49" s="79"/>
      <c r="P49" s="88"/>
      <c r="Q49" s="123">
        <v>4</v>
      </c>
      <c r="R49" s="128" t="s">
        <v>290</v>
      </c>
      <c r="S49" s="127"/>
      <c r="T49" s="127"/>
      <c r="U49" s="127"/>
      <c r="V49" s="127"/>
      <c r="W49" s="127"/>
      <c r="X49" s="127"/>
      <c r="Y49" s="127"/>
      <c r="Z49" s="127"/>
      <c r="AA49" s="127"/>
      <c r="AB49" s="127"/>
      <c r="AC49" s="127"/>
      <c r="AD49" s="127"/>
      <c r="AE49" s="127"/>
      <c r="AF49" s="126"/>
      <c r="AG49" s="123"/>
      <c r="AH49" s="123">
        <v>8</v>
      </c>
      <c r="AI49" s="123">
        <v>6.5</v>
      </c>
      <c r="AJ49" s="125">
        <v>5</v>
      </c>
      <c r="AK49" s="124"/>
      <c r="AL49" s="123">
        <v>60</v>
      </c>
      <c r="AM49" s="123">
        <v>80</v>
      </c>
      <c r="AN49" s="123">
        <v>100</v>
      </c>
      <c r="AQ49" s="77"/>
      <c r="AR49" s="77"/>
    </row>
    <row r="50" spans="1:44" ht="12.6" customHeight="1">
      <c r="A50" s="101" t="s">
        <v>289</v>
      </c>
      <c r="B50" s="102"/>
      <c r="C50" s="102"/>
      <c r="D50" s="102"/>
      <c r="E50" s="102"/>
      <c r="F50" s="102"/>
      <c r="G50" s="102"/>
      <c r="H50" s="102"/>
      <c r="I50" s="102"/>
      <c r="J50" s="101"/>
      <c r="K50" s="100" t="s">
        <v>288</v>
      </c>
      <c r="L50" s="122">
        <v>4</v>
      </c>
      <c r="M50" s="98" t="s">
        <v>65</v>
      </c>
      <c r="O50" s="79"/>
      <c r="P50" s="88"/>
      <c r="Q50" s="117">
        <v>5</v>
      </c>
      <c r="R50" s="121" t="s">
        <v>287</v>
      </c>
      <c r="S50" s="120"/>
      <c r="T50" s="120"/>
      <c r="U50" s="120"/>
      <c r="V50" s="120"/>
      <c r="W50" s="120"/>
      <c r="X50" s="120"/>
      <c r="Y50" s="120"/>
      <c r="Z50" s="120"/>
      <c r="AA50" s="120"/>
      <c r="AB50" s="120"/>
      <c r="AC50" s="120"/>
      <c r="AD50" s="120"/>
      <c r="AE50" s="120"/>
      <c r="AF50" s="119"/>
      <c r="AG50" s="117">
        <v>20</v>
      </c>
      <c r="AH50" s="117">
        <v>17.5</v>
      </c>
      <c r="AI50" s="117">
        <v>15</v>
      </c>
      <c r="AJ50" s="94"/>
      <c r="AK50" s="118">
        <v>40</v>
      </c>
      <c r="AL50" s="117">
        <v>60</v>
      </c>
      <c r="AM50" s="117">
        <v>80</v>
      </c>
      <c r="AN50" s="117"/>
      <c r="AQ50" s="88"/>
      <c r="AR50" s="88"/>
    </row>
    <row r="51" spans="1:44" ht="12.6" customHeight="1">
      <c r="A51" s="115" t="s">
        <v>286</v>
      </c>
      <c r="B51" s="116"/>
      <c r="C51" s="116"/>
      <c r="D51" s="116"/>
      <c r="E51" s="116"/>
      <c r="F51" s="116"/>
      <c r="G51" s="116"/>
      <c r="H51" s="116"/>
      <c r="I51" s="116"/>
      <c r="J51" s="115"/>
      <c r="K51" s="114" t="s">
        <v>285</v>
      </c>
      <c r="L51" s="232">
        <v>1</v>
      </c>
      <c r="M51" s="98"/>
      <c r="O51" s="79"/>
      <c r="P51" s="88"/>
      <c r="Q51" s="92">
        <v>6</v>
      </c>
      <c r="R51" s="97" t="s">
        <v>284</v>
      </c>
      <c r="S51" s="96"/>
      <c r="T51" s="96"/>
      <c r="U51" s="96"/>
      <c r="V51" s="96"/>
      <c r="W51" s="96"/>
      <c r="X51" s="96"/>
      <c r="Y51" s="96"/>
      <c r="Z51" s="96"/>
      <c r="AA51" s="96"/>
      <c r="AB51" s="96"/>
      <c r="AC51" s="96"/>
      <c r="AD51" s="96"/>
      <c r="AE51" s="96"/>
      <c r="AF51" s="95"/>
      <c r="AG51" s="92">
        <v>25</v>
      </c>
      <c r="AH51" s="92">
        <v>20</v>
      </c>
      <c r="AI51" s="92">
        <v>16</v>
      </c>
      <c r="AJ51" s="94"/>
      <c r="AK51" s="93">
        <v>30</v>
      </c>
      <c r="AL51" s="92">
        <v>38</v>
      </c>
      <c r="AM51" s="92">
        <v>45</v>
      </c>
      <c r="AN51" s="92"/>
      <c r="AQ51" s="88"/>
      <c r="AR51" s="88"/>
    </row>
    <row r="52" spans="1:44" ht="14.45" customHeight="1">
      <c r="A52" s="101" t="s">
        <v>283</v>
      </c>
      <c r="B52" s="102"/>
      <c r="C52" s="102"/>
      <c r="D52" s="102"/>
      <c r="E52" s="102"/>
      <c r="F52" s="102"/>
      <c r="G52" s="102"/>
      <c r="H52" s="102"/>
      <c r="I52" s="102"/>
      <c r="J52" s="101"/>
      <c r="K52" s="113" t="s">
        <v>282</v>
      </c>
      <c r="L52" s="112">
        <f>(L21-((IF(C41&lt;&gt;0,(1-B79)^M79,0))+(IF(E41&lt;&gt;0,(1-D79)^M79,0))+(IF(G41&lt;&gt;0,(1-F79)^M79,0))+(IF(I41&lt;&gt;0,(1-H79)^M79,0))+(IF(K41&lt;&gt;0,(1-J79)^M79,0))+(IF(C42&lt;&gt;0,(1-B80)^M79,0))+(IF(E42&lt;&gt;0,(1-D80)^M79,0))+(IF(G42&lt;&gt;0,(1-F80)^M79,0))+(IF(I42&lt;&gt;0,(1-H80)^M79,0))+(IF(K42&lt;&gt;0,(1-J80)^M79,0))+(IF(C43&lt;&gt;0,(1-B81)^M79,0))+(IF(E43&lt;&gt;0,(1-D81)^M79,0))+(IF(G43&lt;&gt;0,(1-F81)^M79,0))+(IF(I43&lt;&gt;0,(1-H81)^M79,0))+(IF(K43&lt;&gt;0,(1-J81)^M79,0))+(IF(C44&lt;&gt;0,(1-B82)^M79,0))+(IF(E44&lt;&gt;0,(1-D82)^M79,0))+(IF(G44&lt;&gt;0,(1-F82)^M79,0))+(IF(I44&lt;&gt;0,(1-H82)^M79,0))+(IF(K44&lt;&gt;0,(1-J82)^M79,0))+(IF(C45&lt;&gt;0,(1-B83)^M79,0))+(IF(E45&lt;&gt;0,(1-D83)^M79,0))+(IF(G45&lt;&gt;0,(1-F83)^M79,0))+(IF(I45&lt;&gt;0,(1-H83)^M79,0))+(IF(K45&lt;&gt;0,(1-J83)^M79,0))))*L51</f>
        <v>2.623992678979389</v>
      </c>
      <c r="M52" s="98" t="s">
        <v>231</v>
      </c>
      <c r="O52" s="79"/>
      <c r="P52" s="88"/>
      <c r="Q52" s="92">
        <v>7</v>
      </c>
      <c r="R52" s="97" t="s">
        <v>281</v>
      </c>
      <c r="S52" s="96"/>
      <c r="T52" s="96"/>
      <c r="U52" s="96"/>
      <c r="V52" s="96"/>
      <c r="W52" s="96"/>
      <c r="X52" s="96"/>
      <c r="Y52" s="96"/>
      <c r="Z52" s="96"/>
      <c r="AA52" s="96"/>
      <c r="AB52" s="96"/>
      <c r="AC52" s="96"/>
      <c r="AD52" s="96"/>
      <c r="AE52" s="96"/>
      <c r="AF52" s="95"/>
      <c r="AG52" s="92">
        <v>20</v>
      </c>
      <c r="AH52" s="92">
        <v>16</v>
      </c>
      <c r="AI52" s="92">
        <v>12.5</v>
      </c>
      <c r="AJ52" s="94"/>
      <c r="AK52" s="93">
        <v>20</v>
      </c>
      <c r="AL52" s="92">
        <v>25</v>
      </c>
      <c r="AM52" s="92">
        <v>30</v>
      </c>
      <c r="AN52" s="92"/>
      <c r="AQ52" s="88"/>
      <c r="AR52" s="88"/>
    </row>
    <row r="53" spans="1:44" ht="12.6" customHeight="1">
      <c r="A53" s="101" t="s">
        <v>280</v>
      </c>
      <c r="B53" s="102"/>
      <c r="C53" s="102"/>
      <c r="D53" s="102"/>
      <c r="E53" s="102"/>
      <c r="F53" s="102"/>
      <c r="G53" s="102"/>
      <c r="H53" s="102"/>
      <c r="I53" s="102"/>
      <c r="J53" s="101"/>
      <c r="K53" s="100" t="s">
        <v>279</v>
      </c>
      <c r="L53" s="112">
        <f>L21-((IF(C41&lt;&gt;0,B88^M79,0))+(IF(E41&lt;&gt;0,D88^M79,0))+(IF(G41&lt;&gt;0,F88^M79,0))+(IF(I41&lt;&gt;0,H88^M79,0))+(IF(K41&lt;&gt;0,J88^M79,0))+(IF(C42&lt;&gt;0,B89^M79,0))+(IF(E42&lt;&gt;0,D89^M79,0))+(IF(G42&lt;&gt;F89^M79,0))+(IF(I42&lt;&gt;0,H89^M79,0))+(IF(K42&lt;&gt;0,J89^M79,0))+(IF(C43&lt;&gt;0,B90^M79,0))+(IF(E43&lt;&gt;0,D90^M79,0))+(IF(G43&lt;&gt;0,F90^M79,0))+(IF(I43&lt;&gt;0,H90^M79,0))+(IF(K43&lt;&gt;0,J90^M79,0))+(IF(C44&lt;&gt;0,B91^M79,0))+(IF(E44&lt;&gt;0,D91^M79,0))+(IF(G44&lt;&gt;0,F91^M79,0))+(IF(I44&lt;&gt;0,H91^M79,0))+(IF(K44&lt;&gt;0,J91^M79,0))+(IF(C45&lt;&gt;0,B92^M79,0))+(IF(E45&lt;&gt;0,D92^M79,0))+(IF(G45&lt;&gt;0,F92^M79,0))+(IF(I45&lt;&gt;0,H92^M79,0)))</f>
        <v>4.6514769787568202</v>
      </c>
      <c r="M53" s="98" t="s">
        <v>231</v>
      </c>
      <c r="N53" s="111"/>
      <c r="O53" s="79"/>
      <c r="P53" s="88"/>
      <c r="Q53" s="92">
        <v>8</v>
      </c>
      <c r="R53" s="97" t="s">
        <v>278</v>
      </c>
      <c r="S53" s="96"/>
      <c r="T53" s="96"/>
      <c r="U53" s="96"/>
      <c r="V53" s="96"/>
      <c r="W53" s="96"/>
      <c r="X53" s="96"/>
      <c r="Y53" s="96"/>
      <c r="Z53" s="96"/>
      <c r="AA53" s="96"/>
      <c r="AB53" s="96"/>
      <c r="AC53" s="96"/>
      <c r="AD53" s="96"/>
      <c r="AE53" s="96"/>
      <c r="AF53" s="95"/>
      <c r="AG53" s="92">
        <v>25</v>
      </c>
      <c r="AH53" s="92"/>
      <c r="AI53" s="92"/>
      <c r="AJ53" s="94"/>
      <c r="AK53" s="93">
        <v>20</v>
      </c>
      <c r="AL53" s="92"/>
      <c r="AM53" s="92"/>
      <c r="AN53" s="92"/>
      <c r="AQ53" s="88"/>
      <c r="AR53" s="88"/>
    </row>
    <row r="54" spans="1:44" ht="12.6" customHeight="1">
      <c r="A54" s="101" t="s">
        <v>277</v>
      </c>
      <c r="B54" s="102"/>
      <c r="C54" s="102"/>
      <c r="D54" s="102"/>
      <c r="E54" s="102"/>
      <c r="F54" s="102"/>
      <c r="G54" s="102"/>
      <c r="H54" s="102"/>
      <c r="I54" s="102"/>
      <c r="J54" s="101"/>
      <c r="K54" s="100" t="s">
        <v>276</v>
      </c>
      <c r="L54" s="99">
        <f>L23/L21</f>
        <v>3.438333333333333</v>
      </c>
      <c r="M54" s="98" t="s">
        <v>269</v>
      </c>
      <c r="O54" s="79"/>
      <c r="Q54" s="92">
        <v>9</v>
      </c>
      <c r="R54" s="97" t="s">
        <v>275</v>
      </c>
      <c r="S54" s="96"/>
      <c r="T54" s="96"/>
      <c r="U54" s="96"/>
      <c r="V54" s="96"/>
      <c r="W54" s="96"/>
      <c r="X54" s="96"/>
      <c r="Y54" s="96"/>
      <c r="Z54" s="96"/>
      <c r="AA54" s="96"/>
      <c r="AB54" s="96"/>
      <c r="AC54" s="96"/>
      <c r="AD54" s="96"/>
      <c r="AE54" s="96"/>
      <c r="AF54" s="95"/>
      <c r="AG54" s="92">
        <v>30</v>
      </c>
      <c r="AH54" s="92">
        <v>25</v>
      </c>
      <c r="AI54" s="92">
        <v>20</v>
      </c>
      <c r="AJ54" s="94"/>
      <c r="AK54" s="93">
        <v>40</v>
      </c>
      <c r="AL54" s="92">
        <v>50</v>
      </c>
      <c r="AM54" s="92">
        <v>60</v>
      </c>
      <c r="AN54" s="92"/>
      <c r="AQ54" s="88"/>
      <c r="AR54" s="88"/>
    </row>
    <row r="55" spans="1:44" ht="12.6" customHeight="1">
      <c r="A55" s="101" t="s">
        <v>274</v>
      </c>
      <c r="B55" s="102"/>
      <c r="C55" s="102"/>
      <c r="D55" s="102"/>
      <c r="E55" s="102"/>
      <c r="F55" s="102"/>
      <c r="G55" s="102"/>
      <c r="H55" s="102"/>
      <c r="I55" s="102"/>
      <c r="J55" s="101"/>
      <c r="K55" s="100" t="s">
        <v>273</v>
      </c>
      <c r="L55" s="99">
        <f>+L53*L54</f>
        <v>15.993328345292198</v>
      </c>
      <c r="M55" s="98" t="s">
        <v>269</v>
      </c>
      <c r="N55" s="110"/>
      <c r="O55" s="79"/>
      <c r="Q55" s="92">
        <v>10</v>
      </c>
      <c r="R55" s="97" t="s">
        <v>272</v>
      </c>
      <c r="S55" s="96"/>
      <c r="T55" s="96"/>
      <c r="U55" s="96"/>
      <c r="V55" s="96"/>
      <c r="W55" s="96"/>
      <c r="X55" s="96"/>
      <c r="Y55" s="96"/>
      <c r="Z55" s="96"/>
      <c r="AA55" s="96"/>
      <c r="AB55" s="96"/>
      <c r="AC55" s="96"/>
      <c r="AD55" s="96"/>
      <c r="AE55" s="96"/>
      <c r="AF55" s="95"/>
      <c r="AG55" s="92">
        <v>15</v>
      </c>
      <c r="AH55" s="92">
        <v>12.5</v>
      </c>
      <c r="AI55" s="92">
        <v>10</v>
      </c>
      <c r="AJ55" s="94"/>
      <c r="AK55" s="93">
        <v>30</v>
      </c>
      <c r="AL55" s="92">
        <v>37</v>
      </c>
      <c r="AM55" s="92">
        <v>45</v>
      </c>
      <c r="AN55" s="92"/>
      <c r="AQ55" s="88"/>
      <c r="AR55" s="88"/>
    </row>
    <row r="56" spans="1:44" ht="12.6" customHeight="1">
      <c r="A56" s="101" t="s">
        <v>271</v>
      </c>
      <c r="B56" s="102"/>
      <c r="C56" s="102"/>
      <c r="D56" s="102"/>
      <c r="E56" s="102"/>
      <c r="F56" s="102"/>
      <c r="G56" s="102"/>
      <c r="H56" s="102"/>
      <c r="I56" s="102"/>
      <c r="J56" s="101"/>
      <c r="K56" s="100" t="s">
        <v>270</v>
      </c>
      <c r="L56" s="99">
        <f>+L53*L54/L52</f>
        <v>6.0950354295625777</v>
      </c>
      <c r="M56" s="98" t="s">
        <v>269</v>
      </c>
      <c r="N56" s="110"/>
      <c r="O56" s="79"/>
      <c r="P56" s="88"/>
      <c r="Q56" s="92">
        <v>11</v>
      </c>
      <c r="R56" s="97" t="s">
        <v>268</v>
      </c>
      <c r="S56" s="96"/>
      <c r="T56" s="96"/>
      <c r="U56" s="96"/>
      <c r="V56" s="96"/>
      <c r="W56" s="96"/>
      <c r="X56" s="96"/>
      <c r="Y56" s="96"/>
      <c r="Z56" s="96"/>
      <c r="AA56" s="96"/>
      <c r="AB56" s="96"/>
      <c r="AC56" s="96"/>
      <c r="AD56" s="96"/>
      <c r="AE56" s="96"/>
      <c r="AF56" s="95"/>
      <c r="AG56" s="92">
        <v>15</v>
      </c>
      <c r="AH56" s="92">
        <v>12.5</v>
      </c>
      <c r="AI56" s="92">
        <v>10</v>
      </c>
      <c r="AJ56" s="94"/>
      <c r="AK56" s="93">
        <v>45</v>
      </c>
      <c r="AL56" s="92">
        <v>52</v>
      </c>
      <c r="AM56" s="92">
        <v>60</v>
      </c>
      <c r="AN56" s="92"/>
      <c r="AQ56" s="88"/>
      <c r="AR56" s="88"/>
    </row>
    <row r="57" spans="1:44" ht="12.6" customHeight="1">
      <c r="A57" s="101" t="s">
        <v>267</v>
      </c>
      <c r="B57" s="102"/>
      <c r="C57" s="102"/>
      <c r="D57" s="102"/>
      <c r="E57" s="102"/>
      <c r="F57" s="102"/>
      <c r="G57" s="102"/>
      <c r="H57" s="102"/>
      <c r="I57" s="102"/>
      <c r="J57" s="101"/>
      <c r="K57" s="100" t="s">
        <v>266</v>
      </c>
      <c r="L57" s="99">
        <f>-L28^2/(2*(-L29))+SQRT(L28^4/(4*L29^2)+L28*L56)</f>
        <v>2.1760119408117329</v>
      </c>
      <c r="M57" s="98" t="s">
        <v>265</v>
      </c>
      <c r="N57" s="110"/>
      <c r="O57" s="79"/>
      <c r="P57" s="88"/>
      <c r="Q57" s="92">
        <v>12</v>
      </c>
      <c r="R57" s="97" t="s">
        <v>264</v>
      </c>
      <c r="S57" s="96"/>
      <c r="T57" s="96"/>
      <c r="U57" s="96"/>
      <c r="V57" s="96"/>
      <c r="W57" s="96"/>
      <c r="X57" s="96"/>
      <c r="Y57" s="96"/>
      <c r="Z57" s="96"/>
      <c r="AA57" s="96"/>
      <c r="AB57" s="96"/>
      <c r="AC57" s="96"/>
      <c r="AD57" s="96"/>
      <c r="AE57" s="96"/>
      <c r="AF57" s="95"/>
      <c r="AG57" s="92">
        <v>15</v>
      </c>
      <c r="AH57" s="92">
        <v>12.5</v>
      </c>
      <c r="AI57" s="92">
        <v>10</v>
      </c>
      <c r="AJ57" s="94"/>
      <c r="AK57" s="93">
        <v>50</v>
      </c>
      <c r="AL57" s="92">
        <v>65</v>
      </c>
      <c r="AM57" s="92">
        <v>80</v>
      </c>
      <c r="AN57" s="92"/>
      <c r="AQ57" s="88"/>
      <c r="AR57" s="88"/>
    </row>
    <row r="58" spans="1:44" ht="12.6" customHeight="1">
      <c r="A58" s="101" t="s">
        <v>263</v>
      </c>
      <c r="B58" s="102"/>
      <c r="C58" s="102"/>
      <c r="D58" s="102"/>
      <c r="E58" s="102"/>
      <c r="F58" s="102"/>
      <c r="G58" s="102" t="s">
        <v>262</v>
      </c>
      <c r="H58" s="102"/>
      <c r="I58" s="102"/>
      <c r="J58" s="101"/>
      <c r="K58" s="100" t="s">
        <v>261</v>
      </c>
      <c r="L58" s="107">
        <f>IF(L57&gt;L27,L56/L27+L27/L28+L28/L29,0)</f>
        <v>7.7200354295625777</v>
      </c>
      <c r="M58" s="98" t="s">
        <v>223</v>
      </c>
      <c r="N58" s="110"/>
      <c r="O58" s="79"/>
      <c r="P58" s="88"/>
      <c r="Q58" s="92">
        <v>13</v>
      </c>
      <c r="R58" s="97" t="s">
        <v>260</v>
      </c>
      <c r="S58" s="96"/>
      <c r="T58" s="96"/>
      <c r="U58" s="96"/>
      <c r="V58" s="96"/>
      <c r="W58" s="96"/>
      <c r="X58" s="96"/>
      <c r="Y58" s="96"/>
      <c r="Z58" s="96"/>
      <c r="AA58" s="96"/>
      <c r="AB58" s="96"/>
      <c r="AC58" s="96"/>
      <c r="AD58" s="96"/>
      <c r="AE58" s="96"/>
      <c r="AF58" s="95"/>
      <c r="AG58" s="92">
        <v>20</v>
      </c>
      <c r="AH58" s="92">
        <v>17.5</v>
      </c>
      <c r="AI58" s="92">
        <v>15</v>
      </c>
      <c r="AJ58" s="94"/>
      <c r="AK58" s="93">
        <v>40</v>
      </c>
      <c r="AL58" s="92">
        <v>50</v>
      </c>
      <c r="AM58" s="92">
        <v>60</v>
      </c>
      <c r="AN58" s="92"/>
      <c r="AQ58" s="88"/>
      <c r="AR58" s="88"/>
    </row>
    <row r="59" spans="1:44" ht="12.6" customHeight="1">
      <c r="A59" s="101"/>
      <c r="B59" s="102"/>
      <c r="C59" s="102"/>
      <c r="D59" s="102"/>
      <c r="E59" s="102"/>
      <c r="F59" s="102"/>
      <c r="G59" s="102" t="s">
        <v>259</v>
      </c>
      <c r="H59" s="102"/>
      <c r="I59" s="102"/>
      <c r="J59" s="101"/>
      <c r="K59" s="100" t="s">
        <v>258</v>
      </c>
      <c r="L59" s="107">
        <f>IF(L57&gt;L27,0,2*L57/L28+2*L28/L29)</f>
        <v>0</v>
      </c>
      <c r="M59" s="98" t="s">
        <v>223</v>
      </c>
      <c r="N59" s="110"/>
      <c r="O59" s="79"/>
      <c r="P59" s="88"/>
      <c r="Q59" s="92">
        <v>14</v>
      </c>
      <c r="R59" s="97" t="s">
        <v>257</v>
      </c>
      <c r="S59" s="96"/>
      <c r="T59" s="96"/>
      <c r="U59" s="96"/>
      <c r="V59" s="96"/>
      <c r="W59" s="96"/>
      <c r="X59" s="96"/>
      <c r="Y59" s="96"/>
      <c r="Z59" s="96"/>
      <c r="AA59" s="96"/>
      <c r="AB59" s="96"/>
      <c r="AC59" s="96"/>
      <c r="AD59" s="96"/>
      <c r="AE59" s="96"/>
      <c r="AF59" s="95"/>
      <c r="AG59" s="92">
        <v>15</v>
      </c>
      <c r="AH59" s="92">
        <v>11.5</v>
      </c>
      <c r="AI59" s="92">
        <v>8</v>
      </c>
      <c r="AJ59" s="94"/>
      <c r="AK59" s="93">
        <v>40</v>
      </c>
      <c r="AL59" s="92">
        <v>50</v>
      </c>
      <c r="AM59" s="92">
        <v>60</v>
      </c>
      <c r="AN59" s="92"/>
      <c r="AQ59" s="88"/>
      <c r="AR59" s="88"/>
    </row>
    <row r="60" spans="1:44" ht="12.6" customHeight="1">
      <c r="A60" s="101"/>
      <c r="B60" s="102"/>
      <c r="C60" s="102"/>
      <c r="D60" s="102"/>
      <c r="E60" s="102"/>
      <c r="F60" s="102"/>
      <c r="G60" s="102" t="s">
        <v>256</v>
      </c>
      <c r="H60" s="102"/>
      <c r="I60" s="102"/>
      <c r="J60" s="101"/>
      <c r="K60" s="100" t="s">
        <v>255</v>
      </c>
      <c r="L60" s="107">
        <f>IF(L59&gt;0,L59,L58)</f>
        <v>7.7200354295625777</v>
      </c>
      <c r="M60" s="98" t="s">
        <v>223</v>
      </c>
      <c r="O60" s="79"/>
      <c r="P60" s="88"/>
      <c r="Q60" s="92">
        <v>15</v>
      </c>
      <c r="R60" s="97" t="s">
        <v>254</v>
      </c>
      <c r="S60" s="96"/>
      <c r="T60" s="96"/>
      <c r="U60" s="96"/>
      <c r="V60" s="96"/>
      <c r="W60" s="96"/>
      <c r="X60" s="96"/>
      <c r="Y60" s="96"/>
      <c r="Z60" s="96"/>
      <c r="AA60" s="96"/>
      <c r="AB60" s="96"/>
      <c r="AC60" s="96"/>
      <c r="AD60" s="96"/>
      <c r="AE60" s="96"/>
      <c r="AF60" s="95"/>
      <c r="AG60" s="92">
        <v>10</v>
      </c>
      <c r="AH60" s="92">
        <v>9</v>
      </c>
      <c r="AI60" s="92">
        <v>8</v>
      </c>
      <c r="AJ60" s="94"/>
      <c r="AK60" s="93">
        <v>40</v>
      </c>
      <c r="AL60" s="92">
        <v>60</v>
      </c>
      <c r="AM60" s="92">
        <v>80</v>
      </c>
      <c r="AN60" s="92"/>
      <c r="AQ60" s="88"/>
      <c r="AR60" s="88"/>
    </row>
    <row r="61" spans="1:44" ht="12.6" customHeight="1">
      <c r="A61" s="101" t="s">
        <v>253</v>
      </c>
      <c r="B61" s="102"/>
      <c r="C61" s="102"/>
      <c r="D61" s="102"/>
      <c r="E61" s="102"/>
      <c r="F61" s="102"/>
      <c r="G61" s="102"/>
      <c r="H61" s="102"/>
      <c r="I61" s="102"/>
      <c r="J61" s="101"/>
      <c r="K61" s="100" t="s">
        <v>252</v>
      </c>
      <c r="L61" s="99">
        <f>+(L55+L30+L31+L32+L33+L34)/L27+L27/L28+L28/L29</f>
        <v>21.248328345292197</v>
      </c>
      <c r="M61" s="98" t="s">
        <v>223</v>
      </c>
      <c r="N61" s="396"/>
      <c r="O61" s="396"/>
      <c r="P61" s="106" t="s">
        <v>235</v>
      </c>
      <c r="Q61" s="92">
        <v>16</v>
      </c>
      <c r="R61" s="97" t="s">
        <v>251</v>
      </c>
      <c r="S61" s="96"/>
      <c r="T61" s="96"/>
      <c r="U61" s="96"/>
      <c r="V61" s="96"/>
      <c r="W61" s="96"/>
      <c r="X61" s="96"/>
      <c r="Y61" s="96"/>
      <c r="Z61" s="96"/>
      <c r="AA61" s="96"/>
      <c r="AB61" s="96"/>
      <c r="AC61" s="96"/>
      <c r="AD61" s="96"/>
      <c r="AE61" s="96"/>
      <c r="AF61" s="95"/>
      <c r="AG61" s="92">
        <v>15</v>
      </c>
      <c r="AH61" s="92">
        <v>12.5</v>
      </c>
      <c r="AI61" s="92">
        <v>10</v>
      </c>
      <c r="AJ61" s="94"/>
      <c r="AK61" s="93">
        <v>30</v>
      </c>
      <c r="AL61" s="92">
        <v>55</v>
      </c>
      <c r="AM61" s="92">
        <v>80</v>
      </c>
      <c r="AN61" s="92"/>
      <c r="AQ61" s="88"/>
      <c r="AR61" s="88"/>
    </row>
    <row r="62" spans="1:44" ht="12.6" customHeight="1">
      <c r="A62" s="101" t="s">
        <v>250</v>
      </c>
      <c r="B62" s="102"/>
      <c r="C62" s="102"/>
      <c r="D62" s="102"/>
      <c r="E62" s="102"/>
      <c r="F62" s="102"/>
      <c r="G62" s="102"/>
      <c r="H62" s="102"/>
      <c r="I62" s="102"/>
      <c r="J62" s="101"/>
      <c r="K62" s="109" t="str">
        <f>IF(N62&gt;L27,"t5/1 = Ha1-2/v + v/a + a/j =","t5/1 = 2*vmax1-2/a + 2*a/j =")</f>
        <v>t5/1 = Ha1-2/v + v/a + a/j =</v>
      </c>
      <c r="L62" s="108">
        <f>IF(L30=0,0,IF(N62&gt;L27,L30/L27+L27/L28+L28/L29,2*N62/L28+2*L28/L29))</f>
        <v>5.2549999999999999</v>
      </c>
      <c r="M62" s="98" t="s">
        <v>223</v>
      </c>
      <c r="N62" s="396">
        <f>L28^2/(2*(-L29))+SQRT(L28^4/(4*L29^2)+L28*L30)</f>
        <v>1.6182139223613632</v>
      </c>
      <c r="O62" s="396"/>
      <c r="P62" s="106" t="s">
        <v>249</v>
      </c>
      <c r="Q62" s="92">
        <v>17</v>
      </c>
      <c r="R62" s="97" t="s">
        <v>248</v>
      </c>
      <c r="S62" s="96"/>
      <c r="T62" s="96"/>
      <c r="U62" s="96"/>
      <c r="V62" s="96"/>
      <c r="W62" s="96"/>
      <c r="X62" s="96"/>
      <c r="Y62" s="96"/>
      <c r="Z62" s="96"/>
      <c r="AA62" s="96"/>
      <c r="AB62" s="96"/>
      <c r="AC62" s="96"/>
      <c r="AD62" s="96"/>
      <c r="AE62" s="96"/>
      <c r="AF62" s="95"/>
      <c r="AG62" s="92">
        <v>20</v>
      </c>
      <c r="AH62" s="92">
        <v>17.5</v>
      </c>
      <c r="AI62" s="92">
        <v>15</v>
      </c>
      <c r="AJ62" s="94"/>
      <c r="AK62" s="93">
        <v>30</v>
      </c>
      <c r="AL62" s="92">
        <v>45</v>
      </c>
      <c r="AM62" s="92">
        <v>60</v>
      </c>
      <c r="AN62" s="92"/>
      <c r="AQ62" s="88"/>
      <c r="AR62" s="88"/>
    </row>
    <row r="63" spans="1:44" ht="12.6" customHeight="1">
      <c r="A63" s="101" t="s">
        <v>247</v>
      </c>
      <c r="B63" s="102"/>
      <c r="C63" s="102"/>
      <c r="D63" s="102"/>
      <c r="E63" s="102"/>
      <c r="F63" s="102"/>
      <c r="G63" s="102"/>
      <c r="H63" s="102"/>
      <c r="I63" s="102"/>
      <c r="J63" s="101"/>
      <c r="K63" s="109" t="str">
        <f>IF(N63&gt;L27,"t5/2 = Ha2-3/v + v/a + a/j =","t5/2 = 2*vmax2-3/a + 2*a/j =")</f>
        <v>t5/2 = 2*vmax2-3/a + 2*a/j =</v>
      </c>
      <c r="L63" s="108">
        <f>IF(L31=0,0,IF(N63&gt;L27,L30/L27+L27/L28+L28/L29,2*N63/L28+2*L28/L29))</f>
        <v>0</v>
      </c>
      <c r="M63" s="98" t="s">
        <v>223</v>
      </c>
      <c r="N63" s="396">
        <f>L28^2/(2*(-L29))+SQRT(L28^4/(4*L29^2)+L28*L31)</f>
        <v>0</v>
      </c>
      <c r="O63" s="396"/>
      <c r="P63" s="88"/>
      <c r="Q63" s="92">
        <v>18</v>
      </c>
      <c r="R63" s="97" t="s">
        <v>246</v>
      </c>
      <c r="S63" s="96"/>
      <c r="T63" s="96"/>
      <c r="U63" s="96"/>
      <c r="V63" s="96"/>
      <c r="W63" s="96"/>
      <c r="X63" s="96"/>
      <c r="Y63" s="96"/>
      <c r="Z63" s="96"/>
      <c r="AA63" s="96"/>
      <c r="AB63" s="96"/>
      <c r="AC63" s="96"/>
      <c r="AD63" s="96"/>
      <c r="AE63" s="96"/>
      <c r="AF63" s="95"/>
      <c r="AG63" s="92">
        <v>30</v>
      </c>
      <c r="AH63" s="92">
        <v>20</v>
      </c>
      <c r="AI63" s="92">
        <v>10</v>
      </c>
      <c r="AJ63" s="94"/>
      <c r="AK63" s="93">
        <v>30</v>
      </c>
      <c r="AL63" s="92">
        <v>45</v>
      </c>
      <c r="AM63" s="92">
        <v>60</v>
      </c>
      <c r="AN63" s="92"/>
      <c r="AQ63" s="88"/>
      <c r="AR63" s="88"/>
    </row>
    <row r="64" spans="1:44" ht="12.6" customHeight="1">
      <c r="A64" s="101" t="s">
        <v>245</v>
      </c>
      <c r="B64" s="102"/>
      <c r="C64" s="102"/>
      <c r="D64" s="102"/>
      <c r="E64" s="102"/>
      <c r="F64" s="102"/>
      <c r="G64" s="102"/>
      <c r="H64" s="102"/>
      <c r="I64" s="102"/>
      <c r="J64" s="101"/>
      <c r="K64" s="109" t="str">
        <f>IF(N64&gt;L27,"t5/3 = Ha3-4/v + v/a + a/j =","t5/3 = 2*vmax3-4/a + 2*a/j =")</f>
        <v>t5/3 = 2*vmax3-4/a + 2*a/j =</v>
      </c>
      <c r="L64" s="108">
        <f>IF(L32=0,0,IF(N64&gt;L27,L30/L27+L27/L28+L28/L29,2*N64/L28+2*L28/L29))</f>
        <v>0</v>
      </c>
      <c r="M64" s="98" t="s">
        <v>223</v>
      </c>
      <c r="N64" s="396">
        <f>L28^2/(2*(-L29))+SQRT(L28^4/(4*L29^2)+L28*L32)</f>
        <v>0</v>
      </c>
      <c r="O64" s="396"/>
      <c r="P64" s="88"/>
      <c r="Q64" s="92">
        <v>19</v>
      </c>
      <c r="R64" s="97" t="s">
        <v>244</v>
      </c>
      <c r="S64" s="96"/>
      <c r="T64" s="96"/>
      <c r="U64" s="96"/>
      <c r="V64" s="96"/>
      <c r="W64" s="96"/>
      <c r="X64" s="96"/>
      <c r="Y64" s="96"/>
      <c r="Z64" s="96"/>
      <c r="AA64" s="96"/>
      <c r="AB64" s="96"/>
      <c r="AC64" s="96"/>
      <c r="AD64" s="96"/>
      <c r="AE64" s="96"/>
      <c r="AF64" s="95"/>
      <c r="AG64" s="92">
        <v>30</v>
      </c>
      <c r="AH64" s="92">
        <v>20</v>
      </c>
      <c r="AI64" s="92">
        <v>10</v>
      </c>
      <c r="AJ64" s="94"/>
      <c r="AK64" s="93">
        <v>45</v>
      </c>
      <c r="AL64" s="92">
        <v>65</v>
      </c>
      <c r="AM64" s="92">
        <v>80</v>
      </c>
      <c r="AN64" s="92"/>
      <c r="AQ64" s="88"/>
      <c r="AR64" s="88"/>
    </row>
    <row r="65" spans="1:44" ht="12.6" customHeight="1">
      <c r="A65" s="101" t="s">
        <v>243</v>
      </c>
      <c r="B65" s="102"/>
      <c r="C65" s="102"/>
      <c r="D65" s="102"/>
      <c r="E65" s="102"/>
      <c r="F65" s="102"/>
      <c r="G65" s="102"/>
      <c r="H65" s="102"/>
      <c r="I65" s="102"/>
      <c r="J65" s="101"/>
      <c r="K65" s="109" t="str">
        <f>IF(N65&gt;L27,"t5/4 = Ha4-5/v + v/a + a/j =","t5/4 = 2*vmax4-5/a + 2*a/j =")</f>
        <v>t5/4 = 2*vmax4-5/a + 2*a/j =</v>
      </c>
      <c r="L65" s="108">
        <f>IF(L33=0,0,IF(N65&gt;L27,L30/L27+L27/L28+L28/L29,2*N65/L28+2*L28/L29))</f>
        <v>0</v>
      </c>
      <c r="M65" s="98" t="s">
        <v>223</v>
      </c>
      <c r="N65" s="396">
        <f>L28^2/(2*(-L29))+SQRT(L28^4/(4*L29^2)+L28*L33)</f>
        <v>0</v>
      </c>
      <c r="O65" s="396"/>
      <c r="P65" s="88"/>
      <c r="Q65" s="92">
        <v>20</v>
      </c>
      <c r="R65" s="97" t="s">
        <v>242</v>
      </c>
      <c r="S65" s="96"/>
      <c r="T65" s="96"/>
      <c r="U65" s="96"/>
      <c r="V65" s="96"/>
      <c r="W65" s="96"/>
      <c r="X65" s="96"/>
      <c r="Y65" s="96"/>
      <c r="Z65" s="96"/>
      <c r="AA65" s="96"/>
      <c r="AB65" s="96"/>
      <c r="AC65" s="96"/>
      <c r="AD65" s="96"/>
      <c r="AE65" s="96"/>
      <c r="AF65" s="95"/>
      <c r="AG65" s="92">
        <v>10</v>
      </c>
      <c r="AH65" s="92">
        <v>7.5</v>
      </c>
      <c r="AI65" s="92">
        <v>5</v>
      </c>
      <c r="AJ65" s="94"/>
      <c r="AK65" s="93">
        <v>60</v>
      </c>
      <c r="AL65" s="92">
        <v>80</v>
      </c>
      <c r="AM65" s="92">
        <v>100</v>
      </c>
      <c r="AN65" s="92"/>
      <c r="AQ65" s="88"/>
      <c r="AR65" s="88"/>
    </row>
    <row r="66" spans="1:44" ht="12.6" customHeight="1">
      <c r="A66" s="101" t="s">
        <v>241</v>
      </c>
      <c r="B66" s="102"/>
      <c r="C66" s="102"/>
      <c r="D66" s="102"/>
      <c r="E66" s="102"/>
      <c r="F66" s="102"/>
      <c r="G66" s="102"/>
      <c r="H66" s="102"/>
      <c r="I66" s="102"/>
      <c r="J66" s="101"/>
      <c r="K66" s="109" t="str">
        <f>IF(N66&gt;L27,"t5/5 = Ha5-6/v + v/a + a/j =","t5/5 = 2*vmax5-6/a + 2*a/j =")</f>
        <v>t5/5 = 2*vmax5-6/a + 2*a/j =</v>
      </c>
      <c r="L66" s="108">
        <f>IF(L34=0,0,IF(N66&gt;L27,L30/L27+L27/L28+L28/L29,2*N66/L28+2*L28/L29))</f>
        <v>0</v>
      </c>
      <c r="M66" s="98" t="s">
        <v>223</v>
      </c>
      <c r="N66" s="396">
        <f>L28^2/(2*(-L29))+SQRT(L28^4/(4*L29^2)+L28*L34)</f>
        <v>0</v>
      </c>
      <c r="O66" s="396"/>
      <c r="P66" s="88"/>
      <c r="Q66" s="92">
        <v>21</v>
      </c>
      <c r="R66" s="97" t="s">
        <v>240</v>
      </c>
      <c r="S66" s="96"/>
      <c r="T66" s="96"/>
      <c r="U66" s="96"/>
      <c r="V66" s="96"/>
      <c r="W66" s="96"/>
      <c r="X66" s="96"/>
      <c r="Y66" s="96"/>
      <c r="Z66" s="96"/>
      <c r="AA66" s="96"/>
      <c r="AB66" s="96"/>
      <c r="AC66" s="96"/>
      <c r="AD66" s="96"/>
      <c r="AE66" s="96"/>
      <c r="AF66" s="95"/>
      <c r="AG66" s="92">
        <v>20</v>
      </c>
      <c r="AH66" s="92">
        <v>15</v>
      </c>
      <c r="AI66" s="92">
        <v>10</v>
      </c>
      <c r="AJ66" s="94"/>
      <c r="AK66" s="93">
        <v>30</v>
      </c>
      <c r="AL66" s="92">
        <v>45</v>
      </c>
      <c r="AM66" s="92">
        <v>60</v>
      </c>
      <c r="AN66" s="92"/>
      <c r="AQ66" s="88"/>
      <c r="AR66" s="88"/>
    </row>
    <row r="67" spans="1:44" ht="12.6" customHeight="1">
      <c r="A67" s="98"/>
      <c r="B67" s="102"/>
      <c r="C67" s="102"/>
      <c r="D67" s="102"/>
      <c r="E67" s="102"/>
      <c r="F67" s="102"/>
      <c r="G67" s="102"/>
      <c r="H67" s="102"/>
      <c r="I67" s="102"/>
      <c r="J67" s="101"/>
      <c r="K67" s="100" t="s">
        <v>239</v>
      </c>
      <c r="L67" s="107">
        <f>0.8*L50*(L36+L37)+(L52+L22)*(L35+L38+L39)+L52*L60+L62+L63+L64+L65+L66+L61</f>
        <v>79.652443356949249</v>
      </c>
      <c r="M67" s="98" t="s">
        <v>223</v>
      </c>
      <c r="O67" s="104"/>
      <c r="P67" s="88"/>
      <c r="Q67" s="92">
        <v>22</v>
      </c>
      <c r="R67" s="97" t="s">
        <v>238</v>
      </c>
      <c r="S67" s="96"/>
      <c r="T67" s="96"/>
      <c r="U67" s="96"/>
      <c r="V67" s="96"/>
      <c r="W67" s="96"/>
      <c r="X67" s="96"/>
      <c r="Y67" s="96"/>
      <c r="Z67" s="96"/>
      <c r="AA67" s="96"/>
      <c r="AB67" s="96"/>
      <c r="AC67" s="96"/>
      <c r="AD67" s="96"/>
      <c r="AE67" s="96"/>
      <c r="AF67" s="95"/>
      <c r="AG67" s="92">
        <v>12</v>
      </c>
      <c r="AH67" s="92">
        <v>10</v>
      </c>
      <c r="AI67" s="92">
        <v>8</v>
      </c>
      <c r="AJ67" s="94"/>
      <c r="AK67" s="93">
        <v>40</v>
      </c>
      <c r="AL67" s="92">
        <v>60</v>
      </c>
      <c r="AM67" s="92">
        <v>80</v>
      </c>
      <c r="AN67" s="92"/>
      <c r="AQ67" s="88"/>
      <c r="AR67" s="88"/>
    </row>
    <row r="68" spans="1:44" ht="12.6" customHeight="1">
      <c r="A68" s="101" t="s">
        <v>237</v>
      </c>
      <c r="B68" s="102"/>
      <c r="C68" s="102"/>
      <c r="D68" s="102"/>
      <c r="E68" s="102"/>
      <c r="F68" s="102"/>
      <c r="G68" s="102"/>
      <c r="H68" s="102"/>
      <c r="I68" s="102"/>
      <c r="J68" s="101"/>
      <c r="K68" s="100" t="s">
        <v>236</v>
      </c>
      <c r="L68" s="99">
        <f>L67/L17</f>
        <v>0.99565554196186556</v>
      </c>
      <c r="M68" s="98" t="s">
        <v>231</v>
      </c>
      <c r="O68" s="104"/>
      <c r="P68" s="106" t="s">
        <v>235</v>
      </c>
      <c r="Q68" s="92">
        <v>23</v>
      </c>
      <c r="R68" s="97" t="s">
        <v>234</v>
      </c>
      <c r="S68" s="96"/>
      <c r="T68" s="96"/>
      <c r="U68" s="96"/>
      <c r="V68" s="96"/>
      <c r="W68" s="96"/>
      <c r="X68" s="96"/>
      <c r="Y68" s="96"/>
      <c r="Z68" s="96"/>
      <c r="AA68" s="96"/>
      <c r="AB68" s="96"/>
      <c r="AC68" s="96"/>
      <c r="AD68" s="96"/>
      <c r="AE68" s="96"/>
      <c r="AF68" s="95"/>
      <c r="AG68" s="92">
        <v>20</v>
      </c>
      <c r="AH68" s="92">
        <v>15</v>
      </c>
      <c r="AI68" s="92">
        <v>10</v>
      </c>
      <c r="AJ68" s="94"/>
      <c r="AK68" s="93">
        <v>30</v>
      </c>
      <c r="AL68" s="92">
        <v>45</v>
      </c>
      <c r="AM68" s="92">
        <v>60</v>
      </c>
      <c r="AN68" s="92"/>
      <c r="AQ68" s="88"/>
      <c r="AR68" s="88"/>
    </row>
    <row r="69" spans="1:44" ht="12.6" customHeight="1">
      <c r="A69" s="101" t="s">
        <v>233</v>
      </c>
      <c r="B69" s="102"/>
      <c r="C69" s="102"/>
      <c r="D69" s="102"/>
      <c r="E69" s="102"/>
      <c r="F69" s="102"/>
      <c r="G69" s="102"/>
      <c r="H69" s="102"/>
      <c r="I69" s="102"/>
      <c r="J69" s="101"/>
      <c r="K69" s="100" t="s">
        <v>232</v>
      </c>
      <c r="L69" s="105">
        <f>E14</f>
        <v>1</v>
      </c>
      <c r="M69" s="98" t="s">
        <v>231</v>
      </c>
      <c r="O69" s="104"/>
      <c r="P69" s="88"/>
      <c r="Q69" s="92">
        <v>24</v>
      </c>
      <c r="R69" s="97" t="s">
        <v>230</v>
      </c>
      <c r="S69" s="96"/>
      <c r="T69" s="96"/>
      <c r="U69" s="96"/>
      <c r="V69" s="96"/>
      <c r="W69" s="96"/>
      <c r="X69" s="96"/>
      <c r="Y69" s="96"/>
      <c r="Z69" s="96"/>
      <c r="AA69" s="96"/>
      <c r="AB69" s="96"/>
      <c r="AC69" s="96"/>
      <c r="AD69" s="96"/>
      <c r="AE69" s="96"/>
      <c r="AF69" s="95"/>
      <c r="AG69" s="92">
        <v>10</v>
      </c>
      <c r="AH69" s="92">
        <v>7.5</v>
      </c>
      <c r="AI69" s="92">
        <v>5</v>
      </c>
      <c r="AJ69" s="94"/>
      <c r="AK69" s="93">
        <v>30</v>
      </c>
      <c r="AL69" s="92">
        <v>40</v>
      </c>
      <c r="AM69" s="92">
        <v>50</v>
      </c>
      <c r="AN69" s="92"/>
      <c r="AQ69" s="88"/>
      <c r="AR69" s="88"/>
    </row>
    <row r="70" spans="1:44" ht="12.6" customHeight="1">
      <c r="A70" s="101" t="s">
        <v>229</v>
      </c>
      <c r="B70" s="102"/>
      <c r="C70" s="102"/>
      <c r="D70" s="102"/>
      <c r="E70" s="102"/>
      <c r="F70" s="102"/>
      <c r="G70" s="102"/>
      <c r="H70" s="102"/>
      <c r="I70" s="102"/>
      <c r="J70" s="101"/>
      <c r="K70" s="100" t="s">
        <v>228</v>
      </c>
      <c r="L70" s="99">
        <f>0.8*L50*300*L69*100/(L67*L48)</f>
        <v>8.0888328701496324</v>
      </c>
      <c r="M70" s="98" t="s">
        <v>227</v>
      </c>
      <c r="O70" s="79"/>
      <c r="P70" s="88"/>
      <c r="Q70" s="92">
        <v>25</v>
      </c>
      <c r="R70" s="97" t="s">
        <v>226</v>
      </c>
      <c r="S70" s="96"/>
      <c r="T70" s="96"/>
      <c r="U70" s="96"/>
      <c r="V70" s="96"/>
      <c r="W70" s="96"/>
      <c r="X70" s="96"/>
      <c r="Y70" s="96"/>
      <c r="Z70" s="96"/>
      <c r="AA70" s="96"/>
      <c r="AB70" s="96"/>
      <c r="AC70" s="96"/>
      <c r="AD70" s="96"/>
      <c r="AE70" s="96"/>
      <c r="AF70" s="95"/>
      <c r="AG70" s="92">
        <v>10</v>
      </c>
      <c r="AH70" s="92">
        <v>7.5</v>
      </c>
      <c r="AI70" s="92">
        <v>5</v>
      </c>
      <c r="AJ70" s="94"/>
      <c r="AK70" s="93">
        <v>45</v>
      </c>
      <c r="AL70" s="92">
        <v>65</v>
      </c>
      <c r="AM70" s="92">
        <v>80</v>
      </c>
      <c r="AN70" s="92"/>
      <c r="AQ70" s="88"/>
      <c r="AR70" s="88"/>
    </row>
    <row r="71" spans="1:44" ht="12.6" customHeight="1">
      <c r="A71" s="101" t="s">
        <v>225</v>
      </c>
      <c r="B71" s="102"/>
      <c r="C71" s="102"/>
      <c r="D71" s="102"/>
      <c r="E71" s="102"/>
      <c r="F71" s="102"/>
      <c r="G71" s="102"/>
      <c r="H71" s="102"/>
      <c r="I71" s="102"/>
      <c r="J71" s="101"/>
      <c r="K71" s="100" t="s">
        <v>224</v>
      </c>
      <c r="L71" s="99">
        <f>+L67/L69</f>
        <v>79.652443356949249</v>
      </c>
      <c r="M71" s="98" t="s">
        <v>223</v>
      </c>
      <c r="O71" s="79"/>
      <c r="P71" s="88"/>
      <c r="Q71" s="92">
        <v>26</v>
      </c>
      <c r="R71" s="97" t="s">
        <v>222</v>
      </c>
      <c r="S71" s="96"/>
      <c r="T71" s="96"/>
      <c r="U71" s="96"/>
      <c r="V71" s="96"/>
      <c r="W71" s="96"/>
      <c r="X71" s="96"/>
      <c r="Y71" s="96"/>
      <c r="Z71" s="96"/>
      <c r="AA71" s="96"/>
      <c r="AB71" s="96"/>
      <c r="AC71" s="96"/>
      <c r="AD71" s="96"/>
      <c r="AE71" s="96"/>
      <c r="AF71" s="95"/>
      <c r="AG71" s="92">
        <v>20</v>
      </c>
      <c r="AH71" s="92">
        <v>17.5</v>
      </c>
      <c r="AI71" s="92">
        <v>15</v>
      </c>
      <c r="AJ71" s="94"/>
      <c r="AK71" s="93">
        <v>60</v>
      </c>
      <c r="AL71" s="92">
        <v>80</v>
      </c>
      <c r="AM71" s="92">
        <v>100</v>
      </c>
      <c r="AN71" s="92"/>
      <c r="AQ71" s="88"/>
      <c r="AR71" s="88"/>
    </row>
    <row r="72" spans="1:44" ht="12.6" customHeight="1">
      <c r="A72" s="101" t="s">
        <v>221</v>
      </c>
      <c r="B72" s="102"/>
      <c r="C72" s="102"/>
      <c r="D72" s="102"/>
      <c r="E72" s="103"/>
      <c r="F72" s="102"/>
      <c r="G72" s="102"/>
      <c r="H72" s="102"/>
      <c r="I72" s="102"/>
      <c r="J72" s="101"/>
      <c r="K72" s="100" t="s">
        <v>220</v>
      </c>
      <c r="L72" s="99">
        <f>+(L52+L22)*3600/L67</f>
        <v>208.98760844947131</v>
      </c>
      <c r="M72" s="98" t="s">
        <v>219</v>
      </c>
      <c r="O72" s="79"/>
      <c r="P72" s="88"/>
      <c r="Q72" s="92">
        <v>27</v>
      </c>
      <c r="R72" s="97" t="s">
        <v>218</v>
      </c>
      <c r="S72" s="96"/>
      <c r="T72" s="96"/>
      <c r="U72" s="96"/>
      <c r="V72" s="96"/>
      <c r="W72" s="96"/>
      <c r="X72" s="96"/>
      <c r="Y72" s="96"/>
      <c r="Z72" s="96"/>
      <c r="AA72" s="96"/>
      <c r="AB72" s="96"/>
      <c r="AC72" s="96"/>
      <c r="AD72" s="96"/>
      <c r="AE72" s="96"/>
      <c r="AF72" s="95"/>
      <c r="AG72" s="92">
        <v>20</v>
      </c>
      <c r="AH72" s="92">
        <v>16</v>
      </c>
      <c r="AI72" s="92">
        <v>12.5</v>
      </c>
      <c r="AJ72" s="94"/>
      <c r="AK72" s="93">
        <v>30</v>
      </c>
      <c r="AL72" s="92">
        <v>38</v>
      </c>
      <c r="AM72" s="92">
        <v>45</v>
      </c>
      <c r="AN72" s="92"/>
      <c r="AQ72" s="88"/>
      <c r="AR72" s="88"/>
    </row>
    <row r="73" spans="1:44" ht="12.6" customHeight="1">
      <c r="A73" s="101" t="s">
        <v>217</v>
      </c>
      <c r="B73" s="102"/>
      <c r="C73" s="102"/>
      <c r="D73" s="102"/>
      <c r="E73" s="102"/>
      <c r="F73" s="102"/>
      <c r="G73" s="102"/>
      <c r="H73" s="102"/>
      <c r="I73" s="102"/>
      <c r="J73" s="101"/>
      <c r="K73" s="100" t="s">
        <v>216</v>
      </c>
      <c r="L73" s="99">
        <f>+(1-((L52+1)*(L35+L38+L39)+0.8*L50*(L36 +L37))/L67)*100</f>
        <v>65.811722258175379</v>
      </c>
      <c r="M73" s="98" t="s">
        <v>215</v>
      </c>
      <c r="O73" s="79"/>
      <c r="P73" s="88"/>
      <c r="Q73" s="92">
        <v>28</v>
      </c>
      <c r="R73" s="97" t="s">
        <v>214</v>
      </c>
      <c r="S73" s="96"/>
      <c r="T73" s="96"/>
      <c r="U73" s="96"/>
      <c r="V73" s="96"/>
      <c r="W73" s="96"/>
      <c r="X73" s="96"/>
      <c r="Y73" s="96"/>
      <c r="Z73" s="96"/>
      <c r="AA73" s="96"/>
      <c r="AB73" s="96"/>
      <c r="AC73" s="96"/>
      <c r="AD73" s="96"/>
      <c r="AE73" s="96"/>
      <c r="AF73" s="95"/>
      <c r="AG73" s="92">
        <v>12.5</v>
      </c>
      <c r="AH73" s="92">
        <v>12.5</v>
      </c>
      <c r="AI73" s="92">
        <v>12.5</v>
      </c>
      <c r="AJ73" s="94"/>
      <c r="AK73" s="93">
        <v>80</v>
      </c>
      <c r="AL73" s="92">
        <v>80</v>
      </c>
      <c r="AM73" s="92">
        <v>80</v>
      </c>
      <c r="AN73" s="92"/>
      <c r="AQ73" s="88"/>
      <c r="AR73" s="88"/>
    </row>
    <row r="74" spans="1:44" ht="12.6" customHeight="1">
      <c r="A74" s="411" t="s">
        <v>536</v>
      </c>
      <c r="B74" s="411"/>
      <c r="C74" s="411"/>
      <c r="D74" s="411"/>
      <c r="E74" s="411"/>
      <c r="F74" s="411"/>
      <c r="G74" s="411"/>
      <c r="H74" s="411"/>
      <c r="I74" s="411"/>
      <c r="J74" s="411"/>
      <c r="K74" s="411"/>
      <c r="L74" s="411"/>
      <c r="M74" s="411"/>
      <c r="O74" s="79"/>
      <c r="P74" s="88"/>
      <c r="Q74" s="92">
        <v>29</v>
      </c>
      <c r="R74" s="97" t="s">
        <v>213</v>
      </c>
      <c r="S74" s="96"/>
      <c r="T74" s="96"/>
      <c r="U74" s="96"/>
      <c r="V74" s="96"/>
      <c r="W74" s="96"/>
      <c r="X74" s="96"/>
      <c r="Y74" s="96"/>
      <c r="Z74" s="96"/>
      <c r="AA74" s="96"/>
      <c r="AB74" s="96"/>
      <c r="AC74" s="96"/>
      <c r="AD74" s="96"/>
      <c r="AE74" s="96"/>
      <c r="AF74" s="95"/>
      <c r="AG74" s="92">
        <v>6</v>
      </c>
      <c r="AH74" s="92">
        <v>6</v>
      </c>
      <c r="AI74" s="92">
        <v>6</v>
      </c>
      <c r="AJ74" s="94"/>
      <c r="AK74" s="93">
        <v>100</v>
      </c>
      <c r="AL74" s="92">
        <v>100</v>
      </c>
      <c r="AM74" s="92">
        <v>100</v>
      </c>
      <c r="AN74" s="92"/>
      <c r="AQ74" s="88"/>
      <c r="AR74" s="88"/>
    </row>
    <row r="75" spans="1:44" ht="12.6" customHeight="1">
      <c r="A75" s="411"/>
      <c r="B75" s="411"/>
      <c r="C75" s="411"/>
      <c r="D75" s="411"/>
      <c r="E75" s="411"/>
      <c r="F75" s="411"/>
      <c r="G75" s="411"/>
      <c r="H75" s="411"/>
      <c r="I75" s="411"/>
      <c r="J75" s="411"/>
      <c r="K75" s="411"/>
      <c r="L75" s="411"/>
      <c r="M75" s="411"/>
      <c r="O75" s="79"/>
      <c r="P75" s="88"/>
      <c r="Q75" s="92">
        <v>30</v>
      </c>
      <c r="R75" s="97" t="s">
        <v>212</v>
      </c>
      <c r="S75" s="96"/>
      <c r="T75" s="96"/>
      <c r="U75" s="96"/>
      <c r="V75" s="96"/>
      <c r="W75" s="96"/>
      <c r="X75" s="96"/>
      <c r="Y75" s="96"/>
      <c r="Z75" s="96"/>
      <c r="AA75" s="96"/>
      <c r="AB75" s="96"/>
      <c r="AC75" s="96"/>
      <c r="AD75" s="96"/>
      <c r="AE75" s="96"/>
      <c r="AF75" s="95"/>
      <c r="AG75" s="92">
        <v>15</v>
      </c>
      <c r="AH75" s="92">
        <v>15</v>
      </c>
      <c r="AI75" s="92">
        <v>15</v>
      </c>
      <c r="AJ75" s="94"/>
      <c r="AK75" s="93">
        <v>80</v>
      </c>
      <c r="AL75" s="92">
        <v>80</v>
      </c>
      <c r="AM75" s="92">
        <v>80</v>
      </c>
      <c r="AN75" s="92"/>
      <c r="AQ75" s="88"/>
      <c r="AR75" s="88"/>
    </row>
    <row r="76" spans="1:44" ht="12.75" customHeight="1">
      <c r="O76" s="79"/>
      <c r="P76" s="88"/>
      <c r="Q76" s="88"/>
      <c r="AQ76" s="88"/>
      <c r="AR76" s="88"/>
    </row>
    <row r="77" spans="1:44" ht="12.75" customHeight="1">
      <c r="C77" s="91" t="s">
        <v>211</v>
      </c>
      <c r="O77" s="79"/>
      <c r="P77" s="88"/>
      <c r="Q77" s="404" t="s">
        <v>210</v>
      </c>
      <c r="R77" s="405"/>
      <c r="S77" s="405"/>
      <c r="T77" s="405"/>
      <c r="U77" s="405"/>
      <c r="V77" s="405"/>
      <c r="W77" s="405"/>
      <c r="X77" s="405"/>
      <c r="Y77" s="405"/>
      <c r="Z77" s="405"/>
      <c r="AA77" s="405"/>
      <c r="AB77" s="405"/>
      <c r="AC77" s="405"/>
      <c r="AD77" s="405"/>
      <c r="AE77" s="405"/>
      <c r="AF77" s="405"/>
      <c r="AG77" s="405"/>
      <c r="AH77" s="405"/>
      <c r="AI77" s="406"/>
      <c r="AQ77" s="88"/>
      <c r="AR77" s="88"/>
    </row>
    <row r="78" spans="1:44" ht="12.75" customHeight="1">
      <c r="A78" s="83" t="s">
        <v>209</v>
      </c>
      <c r="O78" s="79"/>
      <c r="P78" s="88"/>
      <c r="Q78" s="402"/>
      <c r="R78" s="403"/>
      <c r="S78" s="403"/>
      <c r="T78" s="403"/>
      <c r="U78" s="403"/>
      <c r="V78" s="403"/>
      <c r="W78" s="403"/>
      <c r="X78" s="403"/>
      <c r="Y78" s="403"/>
      <c r="Z78" s="403"/>
      <c r="AA78" s="403"/>
      <c r="AB78" s="403"/>
      <c r="AC78" s="403"/>
      <c r="AD78" s="403"/>
      <c r="AE78" s="403"/>
      <c r="AF78" s="403"/>
      <c r="AG78" s="403"/>
      <c r="AH78" s="403"/>
      <c r="AI78" s="407"/>
      <c r="AQ78" s="88"/>
      <c r="AR78" s="88"/>
    </row>
    <row r="79" spans="1:44" ht="12.75" customHeight="1">
      <c r="A79" s="87" t="s">
        <v>180</v>
      </c>
      <c r="B79" s="86">
        <f>C41/$L$48</f>
        <v>0.18456375838926176</v>
      </c>
      <c r="C79" s="87" t="s">
        <v>208</v>
      </c>
      <c r="D79" s="86">
        <f>E41/$L$48</f>
        <v>0.18456375838926176</v>
      </c>
      <c r="E79" s="87" t="s">
        <v>207</v>
      </c>
      <c r="F79" s="86">
        <f>G41/$L$48</f>
        <v>0.18456375838926176</v>
      </c>
      <c r="G79" s="87" t="s">
        <v>206</v>
      </c>
      <c r="H79" s="86">
        <f>I41/$L$48</f>
        <v>0.18456375838926176</v>
      </c>
      <c r="I79" s="87" t="s">
        <v>205</v>
      </c>
      <c r="J79" s="86">
        <f>K41/$L$48</f>
        <v>0.18456375838926176</v>
      </c>
      <c r="L79" s="85" t="s">
        <v>204</v>
      </c>
      <c r="M79" s="53">
        <f>0.8*L50</f>
        <v>3.2</v>
      </c>
      <c r="O79" s="79"/>
      <c r="P79" s="88"/>
      <c r="Q79" s="408"/>
      <c r="R79" s="409"/>
      <c r="S79" s="409"/>
      <c r="T79" s="409"/>
      <c r="U79" s="409"/>
      <c r="V79" s="409"/>
      <c r="W79" s="409"/>
      <c r="X79" s="409"/>
      <c r="Y79" s="409"/>
      <c r="Z79" s="409"/>
      <c r="AA79" s="409"/>
      <c r="AB79" s="409"/>
      <c r="AC79" s="409"/>
      <c r="AD79" s="409"/>
      <c r="AE79" s="409"/>
      <c r="AF79" s="409"/>
      <c r="AG79" s="409"/>
      <c r="AH79" s="409"/>
      <c r="AI79" s="410"/>
      <c r="AQ79" s="88"/>
      <c r="AR79" s="88"/>
    </row>
    <row r="80" spans="1:44" ht="12.75" customHeight="1">
      <c r="A80" s="87" t="s">
        <v>203</v>
      </c>
      <c r="B80" s="86">
        <f>C42/$L$48</f>
        <v>0</v>
      </c>
      <c r="C80" s="87" t="s">
        <v>202</v>
      </c>
      <c r="D80" s="86">
        <f>E42/$L$48</f>
        <v>0</v>
      </c>
      <c r="E80" s="87" t="s">
        <v>201</v>
      </c>
      <c r="F80" s="86">
        <f>G42/$L$48</f>
        <v>0</v>
      </c>
      <c r="G80" s="87" t="s">
        <v>200</v>
      </c>
      <c r="H80" s="86">
        <f>I42/$L$48</f>
        <v>0</v>
      </c>
      <c r="I80" s="87" t="s">
        <v>199</v>
      </c>
      <c r="J80" s="86">
        <f>K42/$L$48</f>
        <v>0</v>
      </c>
      <c r="O80" s="79"/>
      <c r="P80" s="88"/>
      <c r="Q80" s="88"/>
      <c r="AQ80" s="88"/>
      <c r="AR80" s="88"/>
    </row>
    <row r="81" spans="1:44" ht="12.75" customHeight="1">
      <c r="A81" s="87" t="s">
        <v>198</v>
      </c>
      <c r="B81" s="86">
        <f>C43/$L$48</f>
        <v>0</v>
      </c>
      <c r="C81" s="87" t="s">
        <v>197</v>
      </c>
      <c r="D81" s="86">
        <f>E43/$L$48</f>
        <v>0</v>
      </c>
      <c r="E81" s="87" t="s">
        <v>196</v>
      </c>
      <c r="F81" s="86">
        <f>G43/$L$48</f>
        <v>0</v>
      </c>
      <c r="G81" s="87" t="s">
        <v>195</v>
      </c>
      <c r="H81" s="86">
        <f>I43/$L$48</f>
        <v>0</v>
      </c>
      <c r="I81" s="87" t="s">
        <v>194</v>
      </c>
      <c r="J81" s="86">
        <f>K43/$L$48</f>
        <v>0</v>
      </c>
      <c r="O81" s="79"/>
      <c r="P81" s="88"/>
      <c r="Q81" s="404" t="s">
        <v>193</v>
      </c>
      <c r="R81" s="405"/>
      <c r="S81" s="405"/>
      <c r="T81" s="405"/>
      <c r="U81" s="405"/>
      <c r="V81" s="405"/>
      <c r="W81" s="405"/>
      <c r="X81" s="405"/>
      <c r="Y81" s="405"/>
      <c r="Z81" s="405"/>
      <c r="AA81" s="405"/>
      <c r="AB81" s="405"/>
      <c r="AC81" s="405"/>
      <c r="AD81" s="405"/>
      <c r="AE81" s="405"/>
      <c r="AF81" s="405"/>
      <c r="AG81" s="405"/>
      <c r="AH81" s="405"/>
      <c r="AI81" s="406"/>
      <c r="AQ81" s="88"/>
      <c r="AR81" s="88"/>
    </row>
    <row r="82" spans="1:44" ht="12.75" customHeight="1">
      <c r="A82" s="87" t="s">
        <v>192</v>
      </c>
      <c r="B82" s="86">
        <f>C44/$L$48</f>
        <v>0</v>
      </c>
      <c r="C82" s="87" t="s">
        <v>191</v>
      </c>
      <c r="D82" s="86">
        <f>E44/$L$48</f>
        <v>0</v>
      </c>
      <c r="E82" s="87" t="s">
        <v>190</v>
      </c>
      <c r="F82" s="86">
        <f>G44/$L$48</f>
        <v>0</v>
      </c>
      <c r="G82" s="87" t="s">
        <v>189</v>
      </c>
      <c r="H82" s="86">
        <f>I44/$L$48</f>
        <v>0</v>
      </c>
      <c r="I82" s="87" t="s">
        <v>189</v>
      </c>
      <c r="J82" s="86">
        <f>K44/$L$48</f>
        <v>0</v>
      </c>
      <c r="O82" s="79"/>
      <c r="P82" s="88"/>
      <c r="Q82" s="402"/>
      <c r="R82" s="403"/>
      <c r="S82" s="403"/>
      <c r="T82" s="403"/>
      <c r="U82" s="403"/>
      <c r="V82" s="403"/>
      <c r="W82" s="403"/>
      <c r="X82" s="403"/>
      <c r="Y82" s="403"/>
      <c r="Z82" s="403"/>
      <c r="AA82" s="403"/>
      <c r="AB82" s="403"/>
      <c r="AC82" s="403"/>
      <c r="AD82" s="403"/>
      <c r="AE82" s="403"/>
      <c r="AF82" s="403"/>
      <c r="AG82" s="403"/>
      <c r="AH82" s="403"/>
      <c r="AI82" s="407"/>
      <c r="AQ82" s="88"/>
      <c r="AR82" s="88"/>
    </row>
    <row r="83" spans="1:44" ht="12.75" customHeight="1">
      <c r="A83" s="87" t="s">
        <v>188</v>
      </c>
      <c r="B83" s="86">
        <f>C45/$L$48</f>
        <v>0</v>
      </c>
      <c r="C83" s="87" t="s">
        <v>188</v>
      </c>
      <c r="D83" s="86">
        <f>E45/$L$48</f>
        <v>0</v>
      </c>
      <c r="E83" s="87" t="s">
        <v>187</v>
      </c>
      <c r="F83" s="86">
        <f>G45/$L$48</f>
        <v>0</v>
      </c>
      <c r="G83" s="87" t="s">
        <v>186</v>
      </c>
      <c r="H83" s="86">
        <f>I45/$L$48</f>
        <v>0</v>
      </c>
      <c r="I83" s="87" t="s">
        <v>185</v>
      </c>
      <c r="J83" s="86">
        <f>K45/$L$48</f>
        <v>7.7181208053691275E-2</v>
      </c>
      <c r="O83" s="79"/>
      <c r="P83" s="88"/>
      <c r="Q83" s="408"/>
      <c r="R83" s="409"/>
      <c r="S83" s="409"/>
      <c r="T83" s="409"/>
      <c r="U83" s="409"/>
      <c r="V83" s="409"/>
      <c r="W83" s="409"/>
      <c r="X83" s="409"/>
      <c r="Y83" s="409"/>
      <c r="Z83" s="409"/>
      <c r="AA83" s="409"/>
      <c r="AB83" s="409"/>
      <c r="AC83" s="409"/>
      <c r="AD83" s="409"/>
      <c r="AE83" s="409"/>
      <c r="AF83" s="409"/>
      <c r="AG83" s="409"/>
      <c r="AH83" s="409"/>
      <c r="AI83" s="410"/>
      <c r="AQ83" s="88"/>
      <c r="AR83" s="88"/>
    </row>
    <row r="84" spans="1:44" ht="12.75" customHeight="1">
      <c r="A84" s="87"/>
      <c r="B84" s="86"/>
      <c r="C84" s="87"/>
      <c r="D84" s="86"/>
      <c r="E84" s="87"/>
      <c r="F84" s="86"/>
      <c r="G84" s="87"/>
      <c r="H84" s="86"/>
      <c r="I84" s="87"/>
      <c r="J84" s="86"/>
      <c r="O84" s="79"/>
      <c r="P84" s="88"/>
      <c r="Q84" s="88"/>
      <c r="AQ84" s="88"/>
      <c r="AR84" s="88"/>
    </row>
    <row r="85" spans="1:44" ht="12.75" customHeight="1">
      <c r="A85" s="83" t="s">
        <v>184</v>
      </c>
      <c r="Q85" s="402" t="s">
        <v>183</v>
      </c>
      <c r="R85" s="403"/>
      <c r="S85" s="403"/>
      <c r="T85" s="403"/>
      <c r="U85" s="403"/>
      <c r="V85" s="403"/>
      <c r="W85" s="403"/>
      <c r="X85" s="403"/>
      <c r="Y85" s="403"/>
      <c r="Z85" s="403"/>
      <c r="AA85" s="403"/>
      <c r="AB85" s="403"/>
      <c r="AC85" s="403"/>
      <c r="AD85" s="403"/>
      <c r="AE85" s="403"/>
      <c r="AF85" s="403"/>
      <c r="AG85" s="403"/>
      <c r="AH85" s="403"/>
      <c r="AI85" s="403"/>
      <c r="AJ85" s="88"/>
      <c r="AK85" s="88"/>
      <c r="AL85" s="88"/>
      <c r="AM85" s="88"/>
      <c r="AN85" s="88"/>
      <c r="AO85" s="88"/>
      <c r="AP85" s="88"/>
      <c r="AQ85" s="88"/>
      <c r="AR85" s="88"/>
    </row>
    <row r="86" spans="1:44" ht="12.75" customHeight="1">
      <c r="A86" s="90" t="s">
        <v>182</v>
      </c>
      <c r="F86" s="52"/>
      <c r="Q86" s="402"/>
      <c r="R86" s="403"/>
      <c r="S86" s="403"/>
      <c r="T86" s="403"/>
      <c r="U86" s="403"/>
      <c r="V86" s="403"/>
      <c r="W86" s="403"/>
      <c r="X86" s="403"/>
      <c r="Y86" s="403"/>
      <c r="Z86" s="403"/>
      <c r="AA86" s="403"/>
      <c r="AB86" s="403"/>
      <c r="AC86" s="403"/>
      <c r="AD86" s="403"/>
      <c r="AE86" s="403"/>
      <c r="AF86" s="403"/>
      <c r="AG86" s="403"/>
      <c r="AH86" s="403"/>
      <c r="AI86" s="403"/>
      <c r="AJ86" s="88"/>
      <c r="AK86" s="88"/>
      <c r="AL86" s="88"/>
      <c r="AM86" s="88"/>
      <c r="AN86" s="88"/>
      <c r="AO86" s="88"/>
      <c r="AP86" s="88"/>
      <c r="AQ86" s="88"/>
      <c r="AR86" s="88"/>
    </row>
    <row r="87" spans="1:44" ht="12.75" customHeight="1">
      <c r="A87" s="89" t="s">
        <v>181</v>
      </c>
      <c r="R87" s="88"/>
      <c r="S87" s="88"/>
      <c r="T87" s="88"/>
      <c r="U87" s="88"/>
      <c r="V87" s="88"/>
      <c r="W87" s="88"/>
      <c r="X87" s="88"/>
      <c r="Y87" s="88"/>
      <c r="Z87" s="88"/>
      <c r="AA87" s="88"/>
      <c r="AB87" s="88"/>
      <c r="AC87" s="88"/>
      <c r="AD87" s="88"/>
      <c r="AE87" s="88"/>
      <c r="AF87" s="88"/>
      <c r="AG87" s="88"/>
      <c r="AH87" s="88"/>
      <c r="AI87" s="88"/>
      <c r="AJ87" s="88"/>
      <c r="AK87" s="88"/>
      <c r="AL87" s="88"/>
      <c r="AM87" s="88"/>
      <c r="AN87" s="88"/>
      <c r="AO87" s="88"/>
      <c r="AP87" s="88"/>
      <c r="AQ87" s="88"/>
      <c r="AR87" s="88"/>
    </row>
    <row r="88" spans="1:44" ht="12.75" customHeight="1">
      <c r="A88" s="87" t="s">
        <v>180</v>
      </c>
      <c r="B88" s="86">
        <f>C41/$L$48</f>
        <v>0.18456375838926176</v>
      </c>
      <c r="C88" s="87" t="s">
        <v>179</v>
      </c>
      <c r="D88" s="86">
        <f>(C41+E41)/$L$48</f>
        <v>0.36912751677852351</v>
      </c>
      <c r="E88" s="87" t="s">
        <v>178</v>
      </c>
      <c r="F88" s="86">
        <f>(C41+E41+G41)/$L$48</f>
        <v>0.55369127516778527</v>
      </c>
      <c r="G88" s="87" t="s">
        <v>177</v>
      </c>
      <c r="H88" s="86">
        <f>(C41+E41+G41+I41)/$L$48</f>
        <v>0.73825503355704702</v>
      </c>
      <c r="I88" s="87" t="s">
        <v>176</v>
      </c>
      <c r="J88" s="86">
        <f>($C$41+$E$41+$G$41+$I$41+$K$41)/$L$48</f>
        <v>0.92281879194630867</v>
      </c>
      <c r="Q88" s="402" t="s">
        <v>175</v>
      </c>
      <c r="R88" s="403"/>
      <c r="S88" s="403"/>
      <c r="T88" s="403"/>
      <c r="U88" s="403"/>
      <c r="V88" s="403"/>
      <c r="W88" s="403"/>
      <c r="X88" s="403"/>
      <c r="Y88" s="403"/>
      <c r="Z88" s="403"/>
      <c r="AA88" s="403"/>
      <c r="AB88" s="403"/>
      <c r="AC88" s="403"/>
      <c r="AD88" s="403"/>
      <c r="AE88" s="403"/>
      <c r="AF88" s="403"/>
      <c r="AG88" s="403"/>
      <c r="AH88" s="403"/>
      <c r="AI88" s="403"/>
      <c r="AJ88" s="88"/>
      <c r="AK88" s="88"/>
      <c r="AL88" s="88"/>
      <c r="AM88" s="88"/>
      <c r="AN88" s="88"/>
      <c r="AO88" s="88"/>
      <c r="AP88" s="88"/>
      <c r="AQ88" s="88"/>
      <c r="AR88" s="88"/>
    </row>
    <row r="89" spans="1:44" ht="12.75" customHeight="1">
      <c r="A89" s="87" t="s">
        <v>174</v>
      </c>
      <c r="B89" s="86">
        <f>SUM($C$41:$K$41,$C$42)/$L$48</f>
        <v>0.92281879194630867</v>
      </c>
      <c r="C89" s="87" t="s">
        <v>173</v>
      </c>
      <c r="D89" s="86">
        <f>SUM($C$41:$K$41,$C$42:$E$42)/$L$48</f>
        <v>0.92281879194630867</v>
      </c>
      <c r="E89" s="87" t="s">
        <v>172</v>
      </c>
      <c r="F89" s="86">
        <f>SUM($C$41:$K$41,$C$42:$G$42)/$L$48</f>
        <v>0.92281879194630867</v>
      </c>
      <c r="G89" s="87" t="s">
        <v>171</v>
      </c>
      <c r="H89" s="86">
        <f>SUM($C$41:$K$41,$C$42:$I$42)/$L$48</f>
        <v>0.92281879194630867</v>
      </c>
      <c r="I89" s="87" t="s">
        <v>170</v>
      </c>
      <c r="J89" s="86">
        <f>SUM($C$41:$K42)/$L$48</f>
        <v>0.92281879194630867</v>
      </c>
      <c r="Q89" s="402"/>
      <c r="R89" s="403"/>
      <c r="S89" s="403"/>
      <c r="T89" s="403"/>
      <c r="U89" s="403"/>
      <c r="V89" s="403"/>
      <c r="W89" s="403"/>
      <c r="X89" s="403"/>
      <c r="Y89" s="403"/>
      <c r="Z89" s="403"/>
      <c r="AA89" s="403"/>
      <c r="AB89" s="403"/>
      <c r="AC89" s="403"/>
      <c r="AD89" s="403"/>
      <c r="AE89" s="403"/>
      <c r="AF89" s="403"/>
      <c r="AG89" s="403"/>
      <c r="AH89" s="403"/>
      <c r="AI89" s="403"/>
      <c r="AJ89" s="88"/>
      <c r="AK89" s="88"/>
      <c r="AL89" s="88"/>
      <c r="AM89" s="88"/>
      <c r="AN89" s="88"/>
      <c r="AO89" s="88"/>
      <c r="AP89" s="88"/>
      <c r="AQ89" s="88"/>
      <c r="AR89" s="88"/>
    </row>
    <row r="90" spans="1:44" ht="12.75" customHeight="1">
      <c r="A90" s="87" t="s">
        <v>169</v>
      </c>
      <c r="B90" s="86">
        <f>SUM($C$41:$K$42,$C$43)/$L$48</f>
        <v>0.92281879194630867</v>
      </c>
      <c r="C90" s="87" t="s">
        <v>168</v>
      </c>
      <c r="D90" s="86">
        <f>SUM($C$41:$K$42,$C$43:$E$43)/$L$48</f>
        <v>0.92281879194630867</v>
      </c>
      <c r="E90" s="87" t="s">
        <v>167</v>
      </c>
      <c r="F90" s="86">
        <f>SUM($C$41:$K$42,$C$43:$G$43)/$L$48</f>
        <v>0.92281879194630867</v>
      </c>
      <c r="G90" s="87" t="s">
        <v>166</v>
      </c>
      <c r="H90" s="86">
        <f>SUM($C$41:$K$42,$C$43:$I$43)/$L$48</f>
        <v>0.92281879194630867</v>
      </c>
      <c r="I90" s="87" t="s">
        <v>165</v>
      </c>
      <c r="J90" s="86">
        <f>SUM($C$41:$K43)/$L$48</f>
        <v>0.92281879194630867</v>
      </c>
      <c r="O90" s="77"/>
      <c r="P90" s="77"/>
      <c r="Q90" s="77"/>
      <c r="R90" s="77"/>
      <c r="S90" s="77"/>
      <c r="T90" s="77"/>
      <c r="U90" s="77"/>
      <c r="V90" s="77"/>
      <c r="W90" s="77"/>
      <c r="X90" s="77"/>
      <c r="Y90" s="77"/>
      <c r="Z90" s="77"/>
      <c r="AA90" s="77"/>
      <c r="AB90" s="77"/>
      <c r="AC90" s="77"/>
      <c r="AD90" s="77"/>
      <c r="AE90" s="77"/>
      <c r="AF90" s="77"/>
      <c r="AG90" s="77"/>
      <c r="AH90" s="77"/>
      <c r="AI90" s="77"/>
      <c r="AJ90" s="77"/>
      <c r="AK90" s="77"/>
      <c r="AL90" s="77"/>
      <c r="AM90" s="77"/>
      <c r="AN90" s="77"/>
      <c r="AO90" s="77"/>
      <c r="AP90" s="77"/>
      <c r="AQ90" s="77"/>
      <c r="AR90" s="77"/>
    </row>
    <row r="91" spans="1:44" ht="12.75" customHeight="1">
      <c r="A91" s="87" t="s">
        <v>164</v>
      </c>
      <c r="B91" s="86">
        <f>SUM($C$41:$K$43,$C$44)/$L$48</f>
        <v>0.92281879194630867</v>
      </c>
      <c r="C91" s="87" t="s">
        <v>163</v>
      </c>
      <c r="D91" s="86">
        <f>SUM($C$41:$K$43,$C$44:$E$44)/$L$48</f>
        <v>0.92281879194630867</v>
      </c>
      <c r="E91" s="87" t="s">
        <v>162</v>
      </c>
      <c r="F91" s="86">
        <f>SUM($C$41:$K$43,$C$44:$G$44)/$L$48</f>
        <v>0.92281879194630867</v>
      </c>
      <c r="G91" s="87" t="s">
        <v>161</v>
      </c>
      <c r="H91" s="86">
        <f>SUM($C$41:$K$43,$C$44:$I$44)/$L$48</f>
        <v>0.92281879194630867</v>
      </c>
      <c r="I91" s="87" t="s">
        <v>161</v>
      </c>
      <c r="J91" s="86">
        <f>SUM($C$41:$K44)/$L$48</f>
        <v>0.92281879194630867</v>
      </c>
      <c r="O91" s="77"/>
      <c r="P91" s="77"/>
      <c r="Q91" s="397" t="s">
        <v>160</v>
      </c>
      <c r="R91" s="397"/>
      <c r="S91" s="397"/>
      <c r="T91" s="397"/>
      <c r="U91" s="397"/>
      <c r="V91" s="397"/>
      <c r="W91" s="397"/>
      <c r="X91" s="397"/>
      <c r="Y91" s="397"/>
      <c r="Z91" s="397"/>
      <c r="AA91" s="397"/>
      <c r="AB91" s="397"/>
      <c r="AC91" s="397"/>
      <c r="AD91" s="397"/>
      <c r="AE91" s="397"/>
      <c r="AF91" s="397"/>
      <c r="AG91" s="397"/>
      <c r="AH91" s="397"/>
      <c r="AI91" s="397"/>
      <c r="AJ91" s="77"/>
      <c r="AK91" s="77"/>
      <c r="AL91" s="77"/>
      <c r="AM91" s="77"/>
      <c r="AN91" s="77"/>
      <c r="AO91" s="77"/>
      <c r="AP91" s="77"/>
      <c r="AQ91" s="77"/>
      <c r="AR91" s="77"/>
    </row>
    <row r="92" spans="1:44" ht="12.75" customHeight="1">
      <c r="A92" s="87" t="s">
        <v>159</v>
      </c>
      <c r="B92" s="86">
        <f>SUM($C$41:$K$44,$C$45)/$L$48</f>
        <v>0.92281879194630867</v>
      </c>
      <c r="C92" s="87" t="s">
        <v>158</v>
      </c>
      <c r="D92" s="86">
        <f>SUM($C$41:$K$44,$C$45:$E$45)/$L$48</f>
        <v>0.92281879194630867</v>
      </c>
      <c r="E92" s="87" t="s">
        <v>157</v>
      </c>
      <c r="F92" s="86">
        <f>SUM($C$41:$K$44,$C$45:$G$45)/$L$48</f>
        <v>0.92281879194630867</v>
      </c>
      <c r="G92" s="87" t="s">
        <v>156</v>
      </c>
      <c r="H92" s="86">
        <f>SUM($C$41:$K$44,$C$45:$I$45)/$L$48</f>
        <v>0.92281879194630867</v>
      </c>
      <c r="I92" s="87"/>
      <c r="J92" s="86"/>
      <c r="O92" s="77"/>
      <c r="P92" s="77"/>
      <c r="Q92" s="397"/>
      <c r="R92" s="397"/>
      <c r="S92" s="397"/>
      <c r="T92" s="397"/>
      <c r="U92" s="397"/>
      <c r="V92" s="397"/>
      <c r="W92" s="397"/>
      <c r="X92" s="397"/>
      <c r="Y92" s="397"/>
      <c r="Z92" s="397"/>
      <c r="AA92" s="397"/>
      <c r="AB92" s="397"/>
      <c r="AC92" s="397"/>
      <c r="AD92" s="397"/>
      <c r="AE92" s="397"/>
      <c r="AF92" s="397"/>
      <c r="AG92" s="397"/>
      <c r="AH92" s="397"/>
      <c r="AI92" s="397"/>
      <c r="AJ92" s="77"/>
      <c r="AK92" s="77"/>
      <c r="AL92" s="77"/>
      <c r="AM92" s="77"/>
      <c r="AN92" s="77"/>
      <c r="AO92" s="77"/>
      <c r="AP92" s="77"/>
      <c r="AQ92" s="77"/>
      <c r="AR92" s="77"/>
    </row>
    <row r="93" spans="1:44" ht="12.75" customHeight="1">
      <c r="O93" s="77"/>
      <c r="P93" s="77"/>
      <c r="Q93" s="77"/>
      <c r="R93" s="77"/>
      <c r="S93" s="77"/>
      <c r="T93" s="77"/>
      <c r="U93" s="77"/>
      <c r="V93" s="77"/>
      <c r="W93" s="77"/>
      <c r="X93" s="77"/>
      <c r="Y93" s="77"/>
      <c r="Z93" s="77"/>
      <c r="AA93" s="77"/>
      <c r="AB93" s="77"/>
      <c r="AC93" s="77"/>
      <c r="AD93" s="77"/>
      <c r="AE93" s="77"/>
      <c r="AF93" s="77"/>
      <c r="AG93" s="77"/>
      <c r="AH93" s="77"/>
      <c r="AI93" s="77"/>
      <c r="AJ93" s="77"/>
      <c r="AK93" s="77"/>
      <c r="AL93" s="77"/>
      <c r="AM93" s="77"/>
      <c r="AN93" s="77"/>
      <c r="AO93" s="77"/>
      <c r="AP93" s="77"/>
      <c r="AQ93" s="77"/>
      <c r="AR93" s="77"/>
    </row>
    <row r="94" spans="1:44" ht="12.75" customHeight="1">
      <c r="B94" s="54">
        <v>1</v>
      </c>
      <c r="C94" s="54">
        <v>100</v>
      </c>
      <c r="D94" s="54">
        <v>100</v>
      </c>
      <c r="E94" s="54">
        <v>100</v>
      </c>
      <c r="O94" s="77"/>
      <c r="P94" s="77"/>
      <c r="Q94" s="209" t="s">
        <v>412</v>
      </c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7"/>
      <c r="AH94" s="77"/>
      <c r="AI94" s="77"/>
      <c r="AJ94" s="77"/>
      <c r="AK94" s="77"/>
      <c r="AL94" s="77"/>
      <c r="AM94" s="77"/>
      <c r="AN94" s="77"/>
      <c r="AO94" s="77"/>
      <c r="AP94" s="77"/>
      <c r="AQ94" s="77"/>
      <c r="AR94" s="77"/>
    </row>
    <row r="95" spans="1:44" ht="12.75" customHeight="1">
      <c r="B95" s="54">
        <v>2</v>
      </c>
      <c r="C95" s="54">
        <v>180</v>
      </c>
      <c r="D95" s="54">
        <v>180</v>
      </c>
      <c r="E95" s="54">
        <v>180</v>
      </c>
    </row>
    <row r="96" spans="1:44" ht="12.75" customHeight="1">
      <c r="B96" s="54">
        <v>3</v>
      </c>
      <c r="C96" s="54">
        <f t="shared" ref="C96:C126" si="0">B96*75</f>
        <v>225</v>
      </c>
      <c r="D96" s="54">
        <f t="shared" ref="D96:D126" si="1">B96*80</f>
        <v>240</v>
      </c>
      <c r="E96" s="54">
        <v>240</v>
      </c>
    </row>
    <row r="97" spans="1:13" ht="12.75" customHeight="1">
      <c r="B97" s="54">
        <v>4</v>
      </c>
      <c r="C97" s="54">
        <f t="shared" si="0"/>
        <v>300</v>
      </c>
      <c r="D97" s="54">
        <f t="shared" si="1"/>
        <v>320</v>
      </c>
      <c r="E97" s="81">
        <v>320</v>
      </c>
    </row>
    <row r="98" spans="1:13" ht="12.75" customHeight="1">
      <c r="B98" s="54">
        <v>5</v>
      </c>
      <c r="C98" s="54">
        <f t="shared" si="0"/>
        <v>375</v>
      </c>
      <c r="D98" s="54">
        <f t="shared" si="1"/>
        <v>400</v>
      </c>
      <c r="E98" s="81">
        <v>400</v>
      </c>
    </row>
    <row r="99" spans="1:13" ht="12.75" customHeight="1">
      <c r="B99" s="54">
        <v>6</v>
      </c>
      <c r="C99" s="54">
        <f t="shared" si="0"/>
        <v>450</v>
      </c>
      <c r="D99" s="54">
        <f t="shared" si="1"/>
        <v>480</v>
      </c>
      <c r="E99" s="81">
        <v>450</v>
      </c>
    </row>
    <row r="100" spans="1:13" ht="12.75" customHeight="1">
      <c r="B100" s="54">
        <v>7</v>
      </c>
      <c r="C100" s="54">
        <f t="shared" si="0"/>
        <v>525</v>
      </c>
      <c r="D100" s="54">
        <f t="shared" si="1"/>
        <v>560</v>
      </c>
      <c r="E100" s="81">
        <v>550</v>
      </c>
    </row>
    <row r="101" spans="1:13" ht="12.75" customHeight="1">
      <c r="B101" s="54">
        <v>8</v>
      </c>
      <c r="C101" s="54">
        <f t="shared" si="0"/>
        <v>600</v>
      </c>
      <c r="D101" s="54">
        <f t="shared" si="1"/>
        <v>640</v>
      </c>
      <c r="E101" s="81">
        <v>630</v>
      </c>
      <c r="J101" s="85"/>
      <c r="K101" s="84"/>
      <c r="L101" s="55"/>
    </row>
    <row r="102" spans="1:13" ht="12.75" customHeight="1">
      <c r="A102" s="83"/>
      <c r="B102" s="54">
        <v>9</v>
      </c>
      <c r="C102" s="54">
        <f t="shared" si="0"/>
        <v>675</v>
      </c>
      <c r="D102" s="54">
        <f t="shared" si="1"/>
        <v>720</v>
      </c>
      <c r="E102" s="81">
        <v>750</v>
      </c>
      <c r="L102" s="55"/>
    </row>
    <row r="103" spans="1:13" ht="12.75" customHeight="1">
      <c r="B103" s="54">
        <v>10</v>
      </c>
      <c r="C103" s="54">
        <f t="shared" si="0"/>
        <v>750</v>
      </c>
      <c r="D103" s="54">
        <f t="shared" si="1"/>
        <v>800</v>
      </c>
      <c r="E103" s="81">
        <v>800</v>
      </c>
    </row>
    <row r="104" spans="1:13">
      <c r="B104" s="54">
        <v>11</v>
      </c>
      <c r="C104" s="54">
        <f t="shared" si="0"/>
        <v>825</v>
      </c>
      <c r="D104" s="54">
        <f t="shared" si="1"/>
        <v>880</v>
      </c>
      <c r="E104" s="81">
        <v>850</v>
      </c>
      <c r="M104" s="82"/>
    </row>
    <row r="105" spans="1:13">
      <c r="B105" s="54">
        <v>12</v>
      </c>
      <c r="C105" s="54">
        <f t="shared" si="0"/>
        <v>900</v>
      </c>
      <c r="D105" s="54">
        <f t="shared" si="1"/>
        <v>960</v>
      </c>
      <c r="E105" s="81">
        <v>900</v>
      </c>
      <c r="M105" s="82"/>
    </row>
    <row r="106" spans="1:13">
      <c r="B106" s="54">
        <v>13</v>
      </c>
      <c r="C106" s="54">
        <f t="shared" si="0"/>
        <v>975</v>
      </c>
      <c r="D106" s="54">
        <f t="shared" si="1"/>
        <v>1040</v>
      </c>
      <c r="E106" s="81">
        <v>1000</v>
      </c>
      <c r="M106" s="82"/>
    </row>
    <row r="107" spans="1:13">
      <c r="B107" s="54">
        <v>14</v>
      </c>
      <c r="C107" s="54">
        <f t="shared" si="0"/>
        <v>1050</v>
      </c>
      <c r="D107" s="54">
        <f t="shared" si="1"/>
        <v>1120</v>
      </c>
      <c r="E107" s="81">
        <v>1100</v>
      </c>
      <c r="M107" s="82"/>
    </row>
    <row r="108" spans="1:13">
      <c r="B108" s="54">
        <v>15</v>
      </c>
      <c r="C108" s="54">
        <f t="shared" si="0"/>
        <v>1125</v>
      </c>
      <c r="D108" s="54">
        <f t="shared" si="1"/>
        <v>1200</v>
      </c>
      <c r="E108" s="81">
        <v>1150</v>
      </c>
      <c r="M108" s="82"/>
    </row>
    <row r="109" spans="1:13">
      <c r="B109" s="54">
        <v>16</v>
      </c>
      <c r="C109" s="54">
        <f t="shared" si="0"/>
        <v>1200</v>
      </c>
      <c r="D109" s="54">
        <f t="shared" si="1"/>
        <v>1280</v>
      </c>
      <c r="E109" s="81">
        <v>1250</v>
      </c>
      <c r="M109" s="82"/>
    </row>
    <row r="110" spans="1:13">
      <c r="B110" s="54">
        <v>17</v>
      </c>
      <c r="C110" s="54">
        <f t="shared" si="0"/>
        <v>1275</v>
      </c>
      <c r="D110" s="54">
        <f t="shared" si="1"/>
        <v>1360</v>
      </c>
      <c r="E110" s="81">
        <v>1300</v>
      </c>
      <c r="M110" s="57"/>
    </row>
    <row r="111" spans="1:13">
      <c r="B111" s="54">
        <v>18</v>
      </c>
      <c r="C111" s="54">
        <f t="shared" si="0"/>
        <v>1350</v>
      </c>
      <c r="D111" s="54">
        <f t="shared" si="1"/>
        <v>1440</v>
      </c>
      <c r="E111" s="81">
        <v>1350</v>
      </c>
      <c r="M111" s="82"/>
    </row>
    <row r="112" spans="1:13">
      <c r="B112" s="54">
        <v>19</v>
      </c>
      <c r="C112" s="54">
        <f t="shared" si="0"/>
        <v>1425</v>
      </c>
      <c r="D112" s="54">
        <f t="shared" si="1"/>
        <v>1520</v>
      </c>
      <c r="E112" s="81">
        <v>1450</v>
      </c>
      <c r="M112" s="80"/>
    </row>
    <row r="113" spans="2:13">
      <c r="B113" s="54">
        <v>20</v>
      </c>
      <c r="C113" s="54">
        <f t="shared" si="0"/>
        <v>1500</v>
      </c>
      <c r="D113" s="54">
        <f t="shared" si="1"/>
        <v>1600</v>
      </c>
      <c r="E113" s="81">
        <v>1550</v>
      </c>
      <c r="M113" s="80"/>
    </row>
    <row r="114" spans="2:13">
      <c r="B114" s="54">
        <v>21</v>
      </c>
      <c r="C114" s="54">
        <f t="shared" si="0"/>
        <v>1575</v>
      </c>
      <c r="D114" s="54">
        <f t="shared" si="1"/>
        <v>1680</v>
      </c>
      <c r="E114" s="81">
        <v>1600</v>
      </c>
      <c r="M114" s="80"/>
    </row>
    <row r="115" spans="2:13">
      <c r="B115" s="54">
        <v>22</v>
      </c>
      <c r="C115" s="54">
        <f t="shared" si="0"/>
        <v>1650</v>
      </c>
      <c r="D115" s="54">
        <f t="shared" si="1"/>
        <v>1760</v>
      </c>
      <c r="E115" s="81">
        <v>1700</v>
      </c>
      <c r="M115" s="80"/>
    </row>
    <row r="116" spans="2:13">
      <c r="B116" s="54">
        <v>23</v>
      </c>
      <c r="C116" s="54">
        <f t="shared" si="0"/>
        <v>1725</v>
      </c>
      <c r="D116" s="54">
        <f t="shared" si="1"/>
        <v>1840</v>
      </c>
      <c r="E116" s="81">
        <v>1800</v>
      </c>
      <c r="M116" s="80"/>
    </row>
    <row r="117" spans="2:13">
      <c r="B117" s="54">
        <v>24</v>
      </c>
      <c r="C117" s="54">
        <f t="shared" si="0"/>
        <v>1800</v>
      </c>
      <c r="D117" s="54">
        <f t="shared" si="1"/>
        <v>1920</v>
      </c>
      <c r="E117" s="81">
        <v>1850</v>
      </c>
      <c r="M117" s="80"/>
    </row>
    <row r="118" spans="2:13">
      <c r="B118" s="54">
        <v>25</v>
      </c>
      <c r="C118" s="54">
        <f t="shared" si="0"/>
        <v>1875</v>
      </c>
      <c r="D118" s="54">
        <f t="shared" si="1"/>
        <v>2000</v>
      </c>
      <c r="E118" s="81">
        <v>1900</v>
      </c>
      <c r="M118" s="80"/>
    </row>
    <row r="119" spans="2:13">
      <c r="B119" s="54">
        <v>26</v>
      </c>
      <c r="C119" s="54">
        <f t="shared" si="0"/>
        <v>1950</v>
      </c>
      <c r="D119" s="54">
        <f t="shared" si="1"/>
        <v>2080</v>
      </c>
      <c r="E119" s="81">
        <v>2000</v>
      </c>
      <c r="M119" s="80"/>
    </row>
    <row r="120" spans="2:13">
      <c r="B120" s="54">
        <v>27</v>
      </c>
      <c r="C120" s="54">
        <f t="shared" si="0"/>
        <v>2025</v>
      </c>
      <c r="D120" s="54">
        <f t="shared" si="1"/>
        <v>2160</v>
      </c>
      <c r="E120" s="81">
        <v>2100</v>
      </c>
      <c r="M120" s="80"/>
    </row>
    <row r="121" spans="2:13">
      <c r="B121" s="54">
        <v>28</v>
      </c>
      <c r="C121" s="54">
        <f t="shared" si="0"/>
        <v>2100</v>
      </c>
      <c r="D121" s="54">
        <f t="shared" si="1"/>
        <v>2240</v>
      </c>
      <c r="E121" s="81">
        <v>2150</v>
      </c>
      <c r="M121" s="80"/>
    </row>
    <row r="122" spans="2:13">
      <c r="B122" s="54">
        <v>29</v>
      </c>
      <c r="C122" s="54">
        <f t="shared" si="0"/>
        <v>2175</v>
      </c>
      <c r="D122" s="54">
        <f t="shared" si="1"/>
        <v>2320</v>
      </c>
      <c r="E122" s="81">
        <v>2200</v>
      </c>
      <c r="M122" s="80"/>
    </row>
    <row r="123" spans="2:13">
      <c r="B123" s="54">
        <v>30</v>
      </c>
      <c r="C123" s="54">
        <f t="shared" si="0"/>
        <v>2250</v>
      </c>
      <c r="D123" s="54">
        <f t="shared" si="1"/>
        <v>2400</v>
      </c>
      <c r="E123" s="81">
        <v>2300</v>
      </c>
      <c r="M123" s="80"/>
    </row>
    <row r="124" spans="2:13">
      <c r="B124" s="54">
        <v>31</v>
      </c>
      <c r="C124" s="54">
        <f t="shared" si="0"/>
        <v>2325</v>
      </c>
      <c r="D124" s="54">
        <f t="shared" si="1"/>
        <v>2480</v>
      </c>
      <c r="E124" s="54">
        <v>2400</v>
      </c>
      <c r="M124" s="80"/>
    </row>
    <row r="125" spans="2:13">
      <c r="B125" s="54">
        <v>32</v>
      </c>
      <c r="C125" s="54">
        <f t="shared" si="0"/>
        <v>2400</v>
      </c>
      <c r="D125" s="54">
        <f t="shared" si="1"/>
        <v>2560</v>
      </c>
      <c r="E125" s="54">
        <v>2450</v>
      </c>
    </row>
    <row r="126" spans="2:13">
      <c r="B126" s="54">
        <v>33</v>
      </c>
      <c r="C126" s="54">
        <f t="shared" si="0"/>
        <v>2475</v>
      </c>
      <c r="D126" s="54">
        <f t="shared" si="1"/>
        <v>2640</v>
      </c>
      <c r="E126" s="54">
        <v>2500</v>
      </c>
    </row>
    <row r="129" spans="1:13" ht="13.5" thickBot="1">
      <c r="A129" s="79" t="s">
        <v>155</v>
      </c>
      <c r="B129" s="78"/>
      <c r="C129" s="78"/>
      <c r="K129" s="77"/>
      <c r="L129" s="76" t="s">
        <v>154</v>
      </c>
      <c r="M129" s="75"/>
    </row>
    <row r="130" spans="1:13" ht="13.5">
      <c r="A130" s="70" t="s">
        <v>153</v>
      </c>
      <c r="B130" s="74" t="s">
        <v>152</v>
      </c>
      <c r="C130" s="73" t="s">
        <v>151</v>
      </c>
      <c r="D130" s="72"/>
      <c r="E130" s="72"/>
      <c r="F130" s="72"/>
      <c r="G130" s="72"/>
      <c r="H130" s="72"/>
      <c r="I130" s="72"/>
      <c r="J130" s="71"/>
      <c r="K130" s="70" t="s">
        <v>150</v>
      </c>
      <c r="L130" s="69" t="s">
        <v>149</v>
      </c>
      <c r="M130" s="68"/>
    </row>
    <row r="131" spans="1:13">
      <c r="A131" s="63">
        <v>700</v>
      </c>
      <c r="B131" s="65">
        <v>4</v>
      </c>
      <c r="C131" s="64">
        <v>4.4000000000000004</v>
      </c>
      <c r="K131" s="63">
        <v>700</v>
      </c>
      <c r="L131" s="62">
        <v>1.2</v>
      </c>
      <c r="M131" s="57"/>
    </row>
    <row r="132" spans="1:13">
      <c r="A132" s="63">
        <v>800</v>
      </c>
      <c r="B132" s="65">
        <v>4.2</v>
      </c>
      <c r="C132" s="64">
        <v>4.9000000000000004</v>
      </c>
      <c r="K132" s="63">
        <v>800</v>
      </c>
      <c r="L132" s="62">
        <v>1.1000000000000001</v>
      </c>
      <c r="M132" s="57"/>
    </row>
    <row r="133" spans="1:13">
      <c r="A133" s="63">
        <v>900</v>
      </c>
      <c r="B133" s="65">
        <v>4.5</v>
      </c>
      <c r="C133" s="67">
        <v>6.4</v>
      </c>
      <c r="D133" s="54">
        <v>5.4</v>
      </c>
      <c r="K133" s="63">
        <v>900</v>
      </c>
      <c r="L133" s="62">
        <v>1.1000000000000001</v>
      </c>
      <c r="M133" s="57"/>
    </row>
    <row r="134" spans="1:13">
      <c r="A134" s="63">
        <v>1000</v>
      </c>
      <c r="B134" s="65">
        <v>4.8</v>
      </c>
      <c r="C134" s="64">
        <v>6</v>
      </c>
      <c r="K134" s="63">
        <v>1000</v>
      </c>
      <c r="L134" s="62">
        <v>1.1000000000000001</v>
      </c>
      <c r="M134" s="57"/>
    </row>
    <row r="135" spans="1:13">
      <c r="A135" s="63">
        <v>1100</v>
      </c>
      <c r="B135" s="65">
        <v>5.0999999999999996</v>
      </c>
      <c r="C135" s="66">
        <v>6.7</v>
      </c>
      <c r="K135" s="63">
        <v>1100</v>
      </c>
      <c r="L135" s="62">
        <v>1</v>
      </c>
      <c r="M135" s="57"/>
    </row>
    <row r="136" spans="1:13">
      <c r="A136" s="63">
        <v>1200</v>
      </c>
      <c r="B136" s="65">
        <v>5.5</v>
      </c>
      <c r="C136" s="64">
        <v>6.8</v>
      </c>
      <c r="K136" s="63">
        <v>1200</v>
      </c>
      <c r="L136" s="62">
        <v>1</v>
      </c>
      <c r="M136" s="57"/>
    </row>
    <row r="137" spans="1:13">
      <c r="A137" s="63">
        <v>1300</v>
      </c>
      <c r="B137" s="65">
        <v>5.8</v>
      </c>
      <c r="C137" s="64">
        <v>7.5</v>
      </c>
      <c r="K137" s="63">
        <v>1300</v>
      </c>
      <c r="L137" s="62">
        <v>0.8</v>
      </c>
      <c r="M137" s="57"/>
    </row>
    <row r="138" spans="1:13" ht="13.5" thickBot="1">
      <c r="A138" s="59">
        <v>1400</v>
      </c>
      <c r="B138" s="61">
        <v>6.1</v>
      </c>
      <c r="C138" s="60">
        <v>8.5</v>
      </c>
      <c r="K138" s="59">
        <v>1400</v>
      </c>
      <c r="L138" s="58">
        <v>0.8</v>
      </c>
      <c r="M138" s="57"/>
    </row>
    <row r="139" spans="1:13">
      <c r="A139" s="55">
        <v>1500</v>
      </c>
      <c r="B139" s="56">
        <v>6.5</v>
      </c>
      <c r="C139" s="56"/>
      <c r="K139" s="55">
        <v>1500</v>
      </c>
      <c r="L139" s="55">
        <v>0.8</v>
      </c>
    </row>
    <row r="146" ht="12.75" customHeight="1"/>
  </sheetData>
  <mergeCells count="28">
    <mergeCell ref="AK43:AN43"/>
    <mergeCell ref="AG43:AJ43"/>
    <mergeCell ref="AE38:AF38"/>
    <mergeCell ref="AE39:AF39"/>
    <mergeCell ref="AE40:AF40"/>
    <mergeCell ref="N64:O64"/>
    <mergeCell ref="N65:O65"/>
    <mergeCell ref="N66:O66"/>
    <mergeCell ref="Q91:AI92"/>
    <mergeCell ref="A1:M1"/>
    <mergeCell ref="L3:M3"/>
    <mergeCell ref="Q88:AI89"/>
    <mergeCell ref="Q81:AI83"/>
    <mergeCell ref="A74:M75"/>
    <mergeCell ref="Q77:AI79"/>
    <mergeCell ref="AG44:AN44"/>
    <mergeCell ref="Q85:AI86"/>
    <mergeCell ref="N61:O61"/>
    <mergeCell ref="N62:O62"/>
    <mergeCell ref="N63:O63"/>
    <mergeCell ref="A2:M2"/>
    <mergeCell ref="A4:E4"/>
    <mergeCell ref="R43:AF45"/>
    <mergeCell ref="Q43:Q45"/>
    <mergeCell ref="AE41:AF41"/>
    <mergeCell ref="AE37:AF37"/>
    <mergeCell ref="Q37:AD37"/>
    <mergeCell ref="D7:M7"/>
  </mergeCells>
  <conditionalFormatting sqref="L11">
    <cfRule type="cellIs" dxfId="5" priority="3" stopIfTrue="1" operator="equal">
      <formula>"&lt; Psz, nem felel meg"</formula>
    </cfRule>
  </conditionalFormatting>
  <conditionalFormatting sqref="L12">
    <cfRule type="cellIs" dxfId="4" priority="4" stopIfTrue="1" operator="equal">
      <formula>"&gt; Tk, nem felel meg"</formula>
    </cfRule>
  </conditionalFormatting>
  <conditionalFormatting sqref="J11">
    <cfRule type="cellIs" dxfId="3" priority="5" stopIfTrue="1" operator="lessThan">
      <formula>$H$11</formula>
    </cfRule>
  </conditionalFormatting>
  <conditionalFormatting sqref="J12">
    <cfRule type="cellIs" dxfId="2" priority="6" stopIfTrue="1" operator="greaterThan">
      <formula>$H$12</formula>
    </cfRule>
  </conditionalFormatting>
  <conditionalFormatting sqref="J13">
    <cfRule type="cellIs" dxfId="1" priority="2" stopIfTrue="1" operator="greaterThan">
      <formula>$H$13</formula>
    </cfRule>
  </conditionalFormatting>
  <conditionalFormatting sqref="L13">
    <cfRule type="cellIs" dxfId="0" priority="1" stopIfTrue="1" operator="equal">
      <formula>"&gt; TH, nem felel meg"</formula>
    </cfRule>
  </conditionalFormatting>
  <printOptions horizontalCentered="1"/>
  <pageMargins left="0.74803149606299213" right="0.39370078740157483" top="0.55118110236220474" bottom="0.31496062992125984" header="0.23622047244094491" footer="0.23622047244094491"/>
  <pageSetup paperSize="9" scale="84" orientation="portrait" blackAndWhite="1" r:id="rId1"/>
  <headerFooter alignWithMargins="0">
    <oddHeader xml:space="preserve">&amp;L&amp;"MS Sans Serif,Félkövér"OTIS Felvonó Kft.&amp;"MS Sans Serif,Normál"
1134 Budapest, Váci út 37.&amp;R&amp;"MS Sans Serif,Félkövér"
</oddHeader>
  </headerFooter>
  <rowBreaks count="1" manualBreakCount="1">
    <brk id="133" max="16383" man="1"/>
  </rowBreaks>
  <colBreaks count="1" manualBreakCount="1">
    <brk id="14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4" name="Drop Down 1">
              <controlPr defaultSize="0" print="0" autoLine="0" autoPict="0">
                <anchor moveWithCells="1">
                  <from>
                    <xdr:col>2</xdr:col>
                    <xdr:colOff>371475</xdr:colOff>
                    <xdr:row>6</xdr:row>
                    <xdr:rowOff>142875</xdr:rowOff>
                  </from>
                  <to>
                    <xdr:col>12</xdr:col>
                    <xdr:colOff>504825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5" name="Drop Down 2">
              <controlPr defaultSize="0" print="0" autoLine="0" autoPict="0">
                <anchor moveWithCells="1">
                  <from>
                    <xdr:col>3</xdr:col>
                    <xdr:colOff>0</xdr:colOff>
                    <xdr:row>8</xdr:row>
                    <xdr:rowOff>0</xdr:rowOff>
                  </from>
                  <to>
                    <xdr:col>11</xdr:col>
                    <xdr:colOff>342900</xdr:colOff>
                    <xdr:row>9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</vt:i4>
      </vt:variant>
      <vt:variant>
        <vt:lpstr>Névvel ellátott tartományok</vt:lpstr>
      </vt:variant>
      <vt:variant>
        <vt:i4>5</vt:i4>
      </vt:variant>
    </vt:vector>
  </HeadingPairs>
  <TitlesOfParts>
    <vt:vector size="10" baseType="lpstr">
      <vt:lpstr>ADATLAP</vt:lpstr>
      <vt:lpstr>E_T_A_T 1</vt:lpstr>
      <vt:lpstr>MŰSZ.ADAT 2</vt:lpstr>
      <vt:lpstr>ENGSZ 3</vt:lpstr>
      <vt:lpstr>FORGALOMSZÁMÍTÁS L1</vt:lpstr>
      <vt:lpstr>ADATLAP!Nyomtatási_terület</vt:lpstr>
      <vt:lpstr>'E_T_A_T 1'!Nyomtatási_terület</vt:lpstr>
      <vt:lpstr>'ENGSZ 3'!Nyomtatási_terület</vt:lpstr>
      <vt:lpstr>'FORGALOMSZÁMÍTÁS L1'!Nyomtatási_terület</vt:lpstr>
      <vt:lpstr>'MŰSZ.ADAT 2'!Nyomtatási_terület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T.G.</dc:creator>
  <cp:lastModifiedBy>Odonics Boglárka</cp:lastModifiedBy>
  <cp:lastPrinted>2021-08-19T18:57:33Z</cp:lastPrinted>
  <dcterms:created xsi:type="dcterms:W3CDTF">2009-11-24T18:15:51Z</dcterms:created>
  <dcterms:modified xsi:type="dcterms:W3CDTF">2021-08-19T19:03:24Z</dcterms:modified>
</cp:coreProperties>
</file>