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Költségvetés\2024. évi rendeletek\Következő rendelet-módosítás\Rendelet\"/>
    </mc:Choice>
  </mc:AlternateContent>
  <bookViews>
    <workbookView xWindow="120" yWindow="1080" windowWidth="9720" windowHeight="6360"/>
  </bookViews>
  <sheets>
    <sheet name="átrendezve" sheetId="11" r:id="rId1"/>
  </sheets>
  <definedNames>
    <definedName name="_xlnm.Print_Titles" localSheetId="0">átrendezve!$5:$10</definedName>
    <definedName name="_xlnm.Print_Area" localSheetId="0">átrendezve!$A$1:$I$265</definedName>
  </definedNames>
  <calcPr calcId="152511"/>
</workbook>
</file>

<file path=xl/calcChain.xml><?xml version="1.0" encoding="utf-8"?>
<calcChain xmlns="http://schemas.openxmlformats.org/spreadsheetml/2006/main">
  <c r="E263" i="11" l="1"/>
  <c r="F263" i="11"/>
  <c r="G263" i="11"/>
  <c r="H263" i="11"/>
  <c r="D263" i="11"/>
  <c r="H261" i="11"/>
  <c r="G257" i="11" l="1"/>
  <c r="F257" i="11"/>
  <c r="G262" i="11" l="1"/>
  <c r="F262" i="11"/>
  <c r="H262" i="11" s="1"/>
  <c r="F252" i="11" l="1"/>
  <c r="G252" i="11"/>
  <c r="H248" i="11"/>
  <c r="H249" i="11"/>
  <c r="H250" i="11"/>
  <c r="H251" i="11"/>
  <c r="G123" i="11" l="1"/>
  <c r="F123" i="11"/>
  <c r="G126" i="11"/>
  <c r="F126" i="11"/>
  <c r="G125" i="11" l="1"/>
  <c r="F125" i="11"/>
  <c r="G127" i="11" l="1"/>
  <c r="F127" i="11"/>
  <c r="E112" i="11" l="1"/>
  <c r="D112" i="11"/>
  <c r="G111" i="11"/>
  <c r="G112" i="11" s="1"/>
  <c r="F111" i="11"/>
  <c r="F112" i="11" s="1"/>
  <c r="H111" i="11" l="1"/>
  <c r="G62" i="11"/>
  <c r="G61" i="11"/>
  <c r="F62" i="11"/>
  <c r="F61" i="11"/>
  <c r="G59" i="11"/>
  <c r="F59" i="11"/>
  <c r="G57" i="11"/>
  <c r="F57" i="11"/>
  <c r="F40" i="11"/>
  <c r="G35" i="11"/>
  <c r="F35" i="11"/>
  <c r="G29" i="11"/>
  <c r="G28" i="11"/>
  <c r="G27" i="11"/>
  <c r="F29" i="11"/>
  <c r="F28" i="11"/>
  <c r="F27" i="11"/>
  <c r="G26" i="11"/>
  <c r="F26" i="11"/>
  <c r="G23" i="11"/>
  <c r="F23" i="11"/>
  <c r="G17" i="11"/>
  <c r="F17" i="11"/>
  <c r="G21" i="11"/>
  <c r="F21" i="11"/>
  <c r="G13" i="11"/>
  <c r="F13" i="11"/>
  <c r="G56" i="11"/>
  <c r="F56" i="11"/>
  <c r="G54" i="11"/>
  <c r="F54" i="11"/>
  <c r="G48" i="11"/>
  <c r="F48" i="11"/>
  <c r="G44" i="11"/>
  <c r="F44" i="11"/>
  <c r="G42" i="11"/>
  <c r="F42" i="11"/>
  <c r="G38" i="11"/>
  <c r="F38" i="11"/>
  <c r="F37" i="11"/>
  <c r="G34" i="11"/>
  <c r="F34" i="11"/>
  <c r="G33" i="11"/>
  <c r="F33" i="11"/>
  <c r="G31" i="11"/>
  <c r="F31" i="11"/>
  <c r="G25" i="11"/>
  <c r="F25" i="11"/>
  <c r="G24" i="11"/>
  <c r="F24" i="11"/>
  <c r="G15" i="11"/>
  <c r="F15" i="11"/>
  <c r="G19" i="11"/>
  <c r="F19" i="11"/>
  <c r="H27" i="11" l="1"/>
  <c r="G63" i="11"/>
  <c r="H61" i="11"/>
  <c r="H26" i="11"/>
  <c r="H21" i="11"/>
  <c r="F63" i="11"/>
  <c r="H59" i="11"/>
  <c r="H62" i="11"/>
  <c r="H29" i="11"/>
  <c r="H35" i="11"/>
  <c r="H28" i="11"/>
  <c r="G87" i="11"/>
  <c r="G88" i="11" s="1"/>
  <c r="F87" i="11"/>
  <c r="F88" i="11" s="1"/>
  <c r="H87" i="11" l="1"/>
  <c r="H52" i="11" l="1"/>
  <c r="E88" i="11" l="1"/>
  <c r="D88" i="11"/>
  <c r="H86" i="11"/>
  <c r="H247" i="11" l="1"/>
  <c r="E93" i="11" l="1"/>
  <c r="F93" i="11"/>
  <c r="G93" i="11"/>
  <c r="D93" i="11"/>
  <c r="H92" i="11"/>
  <c r="H38" i="11" l="1"/>
  <c r="H20" i="11"/>
  <c r="E83" i="11" l="1"/>
  <c r="F83" i="11"/>
  <c r="G83" i="11"/>
  <c r="D83" i="11"/>
  <c r="H78" i="11"/>
  <c r="H79" i="11"/>
  <c r="H80" i="11"/>
  <c r="H81" i="11"/>
  <c r="H82" i="11"/>
  <c r="E224" i="11" l="1"/>
  <c r="D224" i="11"/>
  <c r="E222" i="11"/>
  <c r="D222" i="11"/>
  <c r="E189" i="11"/>
  <c r="D189" i="11"/>
  <c r="E127" i="11"/>
  <c r="D127" i="11"/>
  <c r="E123" i="11"/>
  <c r="D123" i="11"/>
  <c r="E101" i="11" l="1"/>
  <c r="D101" i="11"/>
  <c r="H90" i="11" l="1"/>
  <c r="H91" i="11"/>
  <c r="H85" i="11"/>
  <c r="H88" i="11" s="1"/>
  <c r="H93" i="11" l="1"/>
  <c r="E196" i="11"/>
  <c r="F196" i="11"/>
  <c r="G196" i="11"/>
  <c r="D196" i="11"/>
  <c r="F201" i="11" l="1"/>
  <c r="G201" i="11"/>
  <c r="H246" i="11" l="1"/>
  <c r="E69" i="11" l="1"/>
  <c r="F69" i="11"/>
  <c r="G69" i="11"/>
  <c r="D69" i="11"/>
  <c r="H68" i="11"/>
  <c r="H245" i="11" l="1"/>
  <c r="E120" i="11" l="1"/>
  <c r="F120" i="11"/>
  <c r="G120" i="11"/>
  <c r="D120" i="11"/>
  <c r="H119" i="11"/>
  <c r="E75" i="11" l="1"/>
  <c r="F75" i="11"/>
  <c r="G75" i="11"/>
  <c r="D75" i="11"/>
  <c r="H72" i="11"/>
  <c r="H73" i="11"/>
  <c r="H74" i="11"/>
  <c r="H244" i="11" l="1"/>
  <c r="H139" i="11" l="1"/>
  <c r="F140" i="11"/>
  <c r="G140" i="11"/>
  <c r="H118" i="11" l="1"/>
  <c r="E257" i="11" l="1"/>
  <c r="D257" i="11"/>
  <c r="E220" i="11"/>
  <c r="D220" i="11"/>
  <c r="E203" i="11"/>
  <c r="D203" i="11"/>
  <c r="E134" i="11"/>
  <c r="D134" i="11"/>
  <c r="E128" i="11"/>
  <c r="D128" i="11"/>
  <c r="E126" i="11"/>
  <c r="D126" i="11"/>
  <c r="E124" i="11"/>
  <c r="D124" i="11"/>
  <c r="D50" i="11"/>
  <c r="E40" i="11"/>
  <c r="D40" i="11"/>
  <c r="E37" i="11"/>
  <c r="D37" i="11"/>
  <c r="E13" i="11"/>
  <c r="D13" i="11"/>
  <c r="E63" i="11" l="1"/>
  <c r="D63" i="11"/>
  <c r="E140" i="11"/>
  <c r="D140" i="11"/>
  <c r="H109" i="11"/>
  <c r="H110" i="11"/>
  <c r="H57" i="11"/>
  <c r="H56" i="11"/>
  <c r="H33" i="11"/>
  <c r="H34" i="11"/>
  <c r="H24" i="11"/>
  <c r="H25" i="11"/>
  <c r="H54" i="11" l="1"/>
  <c r="G101" i="11" l="1"/>
  <c r="F101" i="11"/>
  <c r="H100" i="11" l="1"/>
  <c r="E204" i="11" l="1"/>
  <c r="D204" i="11"/>
  <c r="H99" i="11" l="1"/>
  <c r="H42" i="11" l="1"/>
  <c r="H44" i="11"/>
  <c r="H71" i="11" l="1"/>
  <c r="H75" i="11" s="1"/>
  <c r="H19" i="11" l="1"/>
  <c r="H66" i="11"/>
  <c r="H67" i="11"/>
  <c r="H98" i="11" l="1"/>
  <c r="H97" i="11"/>
  <c r="H138" i="11" l="1"/>
  <c r="E143" i="11" l="1"/>
  <c r="E144" i="11" s="1"/>
  <c r="F143" i="11"/>
  <c r="F144" i="11" s="1"/>
  <c r="G143" i="11"/>
  <c r="G144" i="11" s="1"/>
  <c r="D143" i="11"/>
  <c r="D144" i="11" s="1"/>
  <c r="H142" i="11"/>
  <c r="H143" i="11" s="1"/>
  <c r="H243" i="11" l="1"/>
  <c r="H107" i="11" l="1"/>
  <c r="H108" i="11"/>
  <c r="H96" i="11"/>
  <c r="G204" i="11"/>
  <c r="F204" i="11"/>
  <c r="H50" i="11" l="1"/>
  <c r="H32" i="11"/>
  <c r="H116" i="11" l="1"/>
  <c r="H115" i="11"/>
  <c r="H51" i="11" l="1"/>
  <c r="H47" i="11"/>
  <c r="H23" i="11"/>
  <c r="H17" i="11"/>
  <c r="H16" i="11"/>
  <c r="H15" i="11"/>
  <c r="H14" i="11"/>
  <c r="H13" i="11"/>
  <c r="H228" i="11"/>
  <c r="H48" i="11" l="1"/>
  <c r="H117" i="11"/>
  <c r="H120" i="11" s="1"/>
  <c r="H123" i="11"/>
  <c r="H103" i="11"/>
  <c r="H105" i="11"/>
  <c r="H104" i="11"/>
  <c r="E258" i="11" l="1"/>
  <c r="D258" i="11"/>
  <c r="E221" i="11"/>
  <c r="E252" i="11" s="1"/>
  <c r="D221" i="11"/>
  <c r="D252" i="11" s="1"/>
  <c r="E199" i="11"/>
  <c r="E201" i="11" s="1"/>
  <c r="D199" i="11"/>
  <c r="D201" i="11" s="1"/>
  <c r="H241" i="11" l="1"/>
  <c r="H136" i="11" l="1"/>
  <c r="H46" i="11" l="1"/>
  <c r="H226" i="11" l="1"/>
  <c r="H240" i="11"/>
  <c r="H135" i="11" l="1"/>
  <c r="H239" i="11"/>
  <c r="H129" i="11" l="1"/>
  <c r="H217" i="11" l="1"/>
  <c r="H242" i="11" l="1"/>
  <c r="H258" i="11" l="1"/>
  <c r="H257" i="11"/>
  <c r="H256" i="11"/>
  <c r="H255" i="11"/>
  <c r="H238" i="11"/>
  <c r="H237" i="11"/>
  <c r="H236" i="11"/>
  <c r="H235" i="11"/>
  <c r="H234" i="11"/>
  <c r="H233" i="11"/>
  <c r="H232" i="11"/>
  <c r="H231" i="11"/>
  <c r="H229" i="11"/>
  <c r="H225" i="11"/>
  <c r="H224" i="11"/>
  <c r="H223" i="11"/>
  <c r="H222" i="11"/>
  <c r="H221" i="11"/>
  <c r="H220" i="11"/>
  <c r="H219" i="11"/>
  <c r="H218" i="11"/>
  <c r="H216" i="11"/>
  <c r="H215" i="11"/>
  <c r="H214" i="11"/>
  <c r="H213" i="11"/>
  <c r="H212" i="11"/>
  <c r="H207" i="11"/>
  <c r="H206" i="11"/>
  <c r="H203" i="11"/>
  <c r="H204" i="11" s="1"/>
  <c r="H200" i="11"/>
  <c r="H199" i="11"/>
  <c r="H198" i="11"/>
  <c r="H195" i="11"/>
  <c r="H196" i="11" s="1"/>
  <c r="H192" i="11"/>
  <c r="H189" i="11"/>
  <c r="H185" i="11"/>
  <c r="H184" i="11"/>
  <c r="H183" i="11"/>
  <c r="H180" i="11"/>
  <c r="H177" i="11"/>
  <c r="H176" i="11"/>
  <c r="H175" i="11"/>
  <c r="H174" i="11"/>
  <c r="H173" i="11"/>
  <c r="H172" i="11"/>
  <c r="H171" i="11"/>
  <c r="H170" i="11"/>
  <c r="H169" i="11"/>
  <c r="H168" i="11"/>
  <c r="H167" i="11"/>
  <c r="H164" i="11"/>
  <c r="H163" i="11"/>
  <c r="H162" i="11"/>
  <c r="H161" i="11"/>
  <c r="H160" i="11"/>
  <c r="H159" i="11"/>
  <c r="H158" i="11"/>
  <c r="H157" i="11"/>
  <c r="H156" i="11"/>
  <c r="H155" i="11"/>
  <c r="H154" i="11"/>
  <c r="H153" i="11"/>
  <c r="H152" i="11"/>
  <c r="H149" i="11"/>
  <c r="H148" i="11"/>
  <c r="H137" i="11"/>
  <c r="H134" i="11"/>
  <c r="H133" i="11"/>
  <c r="H132" i="11"/>
  <c r="H131" i="11"/>
  <c r="H130" i="11"/>
  <c r="H128" i="11"/>
  <c r="H127" i="11"/>
  <c r="H126" i="11"/>
  <c r="H125" i="11"/>
  <c r="H124" i="11"/>
  <c r="H95" i="11"/>
  <c r="H101" i="11" s="1"/>
  <c r="H77" i="11"/>
  <c r="H83" i="11" s="1"/>
  <c r="H65" i="11"/>
  <c r="H69" i="11" s="1"/>
  <c r="H40" i="11"/>
  <c r="H37" i="11"/>
  <c r="H31" i="11"/>
  <c r="H18" i="11"/>
  <c r="E259" i="11"/>
  <c r="E208" i="11"/>
  <c r="E193" i="11"/>
  <c r="E190" i="11"/>
  <c r="E186" i="11"/>
  <c r="E181" i="11"/>
  <c r="E178" i="11"/>
  <c r="E165" i="11"/>
  <c r="E150" i="11"/>
  <c r="E113" i="11"/>
  <c r="H63" i="11" l="1"/>
  <c r="H252" i="11"/>
  <c r="H201" i="11"/>
  <c r="H140" i="11"/>
  <c r="H144" i="11" s="1"/>
  <c r="E121" i="11"/>
  <c r="E264" i="11"/>
  <c r="E187" i="11"/>
  <c r="E209" i="11" s="1"/>
  <c r="E265" i="11" l="1"/>
  <c r="H106" i="11"/>
  <c r="H112" i="11" s="1"/>
  <c r="G259" i="11" l="1"/>
  <c r="F259" i="11"/>
  <c r="D259" i="11"/>
  <c r="G113" i="11" l="1"/>
  <c r="F113" i="11"/>
  <c r="H113" i="11"/>
  <c r="D113" i="11" l="1"/>
  <c r="D121" i="11" s="1"/>
  <c r="G208" i="11"/>
  <c r="G193" i="11"/>
  <c r="G190" i="11"/>
  <c r="G186" i="11"/>
  <c r="G181" i="11"/>
  <c r="G178" i="11"/>
  <c r="G165" i="11"/>
  <c r="G150" i="11"/>
  <c r="G121" i="11"/>
  <c r="H259" i="11"/>
  <c r="F208" i="11"/>
  <c r="F193" i="11"/>
  <c r="F190" i="11"/>
  <c r="F186" i="11"/>
  <c r="F181" i="11"/>
  <c r="F178" i="11"/>
  <c r="F165" i="11"/>
  <c r="F150" i="11"/>
  <c r="F121" i="11"/>
  <c r="D186" i="11"/>
  <c r="D181" i="11"/>
  <c r="D178" i="11"/>
  <c r="D165" i="11"/>
  <c r="D208" i="11"/>
  <c r="D190" i="11"/>
  <c r="D193" i="11"/>
  <c r="D150" i="11"/>
  <c r="H193" i="11" l="1"/>
  <c r="H181" i="11"/>
  <c r="F264" i="11"/>
  <c r="G187" i="11"/>
  <c r="G209" i="11" s="1"/>
  <c r="F187" i="11"/>
  <c r="F209" i="11" s="1"/>
  <c r="D264" i="11"/>
  <c r="H190" i="11"/>
  <c r="H208" i="11"/>
  <c r="D187" i="11"/>
  <c r="G264" i="11"/>
  <c r="G265" i="11" l="1"/>
  <c r="F265" i="11"/>
  <c r="H165" i="11"/>
  <c r="H178" i="11"/>
  <c r="H186" i="11"/>
  <c r="H150" i="11"/>
  <c r="H264" i="11"/>
  <c r="D209" i="11"/>
  <c r="D265" i="11" s="1"/>
  <c r="H187" i="11" l="1"/>
  <c r="H209" i="11" s="1"/>
  <c r="H121" i="11" l="1"/>
  <c r="H265" i="11" s="1"/>
</calcChain>
</file>

<file path=xl/sharedStrings.xml><?xml version="1.0" encoding="utf-8"?>
<sst xmlns="http://schemas.openxmlformats.org/spreadsheetml/2006/main" count="471" uniqueCount="252">
  <si>
    <t>ezer Ft</t>
  </si>
  <si>
    <t>Megnevezés</t>
  </si>
  <si>
    <t xml:space="preserve"> Budapest Főváros VII. Kerület Erzsébetváros Önkormányzata</t>
  </si>
  <si>
    <t>Erzsébetváros Rendészeti Igazgatósága</t>
  </si>
  <si>
    <t>I.</t>
  </si>
  <si>
    <t>II.</t>
  </si>
  <si>
    <t>III.</t>
  </si>
  <si>
    <t>Erzsébetvárosi Kópévár Óvoda</t>
  </si>
  <si>
    <t>Erzsébetvárosi Nefelejcs Óvoda</t>
  </si>
  <si>
    <t>Erzsébetvárosi Bóbita Óvoda</t>
  </si>
  <si>
    <t>Erzsébetvárosi Magonc Óvoda</t>
  </si>
  <si>
    <t>Feladat 
típusa 
(K/Ö/Á)</t>
  </si>
  <si>
    <t>Címszám</t>
  </si>
  <si>
    <t>ASP-vel kapcsolatos fejlesztés és GDPR adatvédelem</t>
  </si>
  <si>
    <t>Informatikai hálózatfejlesztés</t>
  </si>
  <si>
    <t>Műszaki cikkek beszerzése</t>
  </si>
  <si>
    <t>Erzsébetvárosi Dob Óvoda</t>
  </si>
  <si>
    <t>IV.</t>
  </si>
  <si>
    <t>Sorszám</t>
  </si>
  <si>
    <t>Bischitz Johanna Integrált Humán Szolgáltató Központ</t>
  </si>
  <si>
    <t>Polgármesteri Hivatal feladatai</t>
  </si>
  <si>
    <t>Mobiltelefon beszerzése</t>
  </si>
  <si>
    <t>Irodabútorok beszerzése</t>
  </si>
  <si>
    <t>Mindösszesen</t>
  </si>
  <si>
    <t>Utcai zárt kerékpártároló kialakítása</t>
  </si>
  <si>
    <t>Önkormányzati beruházások</t>
  </si>
  <si>
    <t>K</t>
  </si>
  <si>
    <t>a)</t>
  </si>
  <si>
    <t>b)</t>
  </si>
  <si>
    <t>c)</t>
  </si>
  <si>
    <t>d)</t>
  </si>
  <si>
    <t>e)</t>
  </si>
  <si>
    <t>Intézményi beruházások</t>
  </si>
  <si>
    <t>Ö</t>
  </si>
  <si>
    <t>V.</t>
  </si>
  <si>
    <t>VI.</t>
  </si>
  <si>
    <t>VII.</t>
  </si>
  <si>
    <t>Peterdy utca 16. - (Idősellátással összefüggő szolgáltatások )</t>
  </si>
  <si>
    <t>Pályázatok</t>
  </si>
  <si>
    <t xml:space="preserve">Európai Unió által finanszírozott pályázatok </t>
  </si>
  <si>
    <t>LIFE in RUNOFF című LIFE20 CCA/HU/001774 pályázat
esővízgyűjtő tartályok</t>
  </si>
  <si>
    <t>Nyár utca 7. - (Központi irányítás)</t>
  </si>
  <si>
    <t>2024. évi tervezett beruházási kiadások előirányzatai</t>
  </si>
  <si>
    <t>Iratkezelési szoftver</t>
  </si>
  <si>
    <t>IT fejlesztés</t>
  </si>
  <si>
    <t>Nyár utca 7.- (Központi irányítás) összesen (1+2)</t>
  </si>
  <si>
    <t>Pelenkatartó szekrény  (37db)</t>
  </si>
  <si>
    <t>Oxigén koncentrátor</t>
  </si>
  <si>
    <t>CoagS  PT-INR mérő készülék + teszt</t>
  </si>
  <si>
    <t>Mángorlógép</t>
  </si>
  <si>
    <t>Peterdy utca 16. - (Idősellátással összefüggő szolgáltatások telephelye) összesen(1+2+…+13)</t>
  </si>
  <si>
    <t xml:space="preserve">Dózsa György út 46. Idősek bentlakásos intézménye összesen (1+2+…+11)
</t>
  </si>
  <si>
    <t>Pelenkatartó szekrény (45db)</t>
  </si>
  <si>
    <t>Házi segítségnyújtás és Jelzőrendszeres házi segítségnyújtás</t>
  </si>
  <si>
    <t>Bischitz Johanna Integrált Humán Szolgáltató Központ összesen (a+b+…+e)</t>
  </si>
  <si>
    <t>Csengery utca 25 Szájsebészet</t>
  </si>
  <si>
    <t>Csengery utca 25 Szájsebészet összesen (1+2+3)</t>
  </si>
  <si>
    <t>Intraoralis röntgen készülék</t>
  </si>
  <si>
    <t>Orvosi forgószék</t>
  </si>
  <si>
    <t>Erzsébetvárosi Kópévár Óvoda összesen (1)</t>
  </si>
  <si>
    <t>Erzsébetvárosi Nefelejcs Óvoda összesen (1)</t>
  </si>
  <si>
    <t>Beépített konyhaszekrény cseréje</t>
  </si>
  <si>
    <t>Irodai konvektorok cseréje (3 db)</t>
  </si>
  <si>
    <t>Erzsébetvárosi Magonc Óvoda összesen (1+2+3)</t>
  </si>
  <si>
    <t>Napvitorla</t>
  </si>
  <si>
    <t>Kis tó és bio kert kialakítása</t>
  </si>
  <si>
    <t>Intézményi beruházások összesen (I+II+…+VII)</t>
  </si>
  <si>
    <t>Erzsébetváros Rendészeti Igazgatósága összesen (1+2)</t>
  </si>
  <si>
    <t>Rendszámfelismerő rendszer beszerzés</t>
  </si>
  <si>
    <t>Klímakészülék beszerzés</t>
  </si>
  <si>
    <t>Hardver eszközök beszerzése (laptop, pc, monitor, stb.)</t>
  </si>
  <si>
    <t>Konyhai eszközök beszerzése</t>
  </si>
  <si>
    <t>Damjanich utca növényesítése</t>
  </si>
  <si>
    <t>Kerítés beszerzés és telepítés közterületi növényszigetek védelmére (Jövő7)</t>
  </si>
  <si>
    <t>Madách téren karácsonyfa helyének kijelölése, kiépítése (tervezés, kivitelezés)</t>
  </si>
  <si>
    <t>Planténerek beszerzése növényszigetek kialakítása céljából (Jövő7)</t>
  </si>
  <si>
    <t>Laptopok beszerzése képviselők részére</t>
  </si>
  <si>
    <t>Szociális helyiség kialakítása közterületet takarítók részére</t>
  </si>
  <si>
    <t>Klauzál téri „Gettó emlékmű” megvalósítása</t>
  </si>
  <si>
    <t>Térfigyelő kamerák beszerzése</t>
  </si>
  <si>
    <t>CityLight eszközzel felszerelt utasvárók létesítése</t>
  </si>
  <si>
    <t>Zöldfelület eszközök beszerzése (Jövő7)</t>
  </si>
  <si>
    <t>9 fős személyszállító jármű beszerzése</t>
  </si>
  <si>
    <t>Klauzál Csarnok épületfelügyeleti rendszert vezérlő számítógépek és kamerák</t>
  </si>
  <si>
    <t>Garay utca 5. villámvédelmi rendszer kiépítése</t>
  </si>
  <si>
    <t xml:space="preserve">Fővárosi Önkormányzat által kiírt pályázatok </t>
  </si>
  <si>
    <t xml:space="preserve">Városligeti fasor 39-41. - (Gyermekek napközbeni ellátásának telephelye) </t>
  </si>
  <si>
    <t>Dob utca 23. - (Gyermekek napközbeni ellátásának telephelye)</t>
  </si>
  <si>
    <t>Dob utca 27. -  Játszóház (SNI és fogyatékos gyermekek fejlesztése)</t>
  </si>
  <si>
    <t>Kazáncsere</t>
  </si>
  <si>
    <t>2101-21</t>
  </si>
  <si>
    <t>Öltözőszekrény (2 db)</t>
  </si>
  <si>
    <t>2101-26</t>
  </si>
  <si>
    <t>Nyár utca 7.- Központi irányítás</t>
  </si>
  <si>
    <t>Kis-értékű tárgyi eszközök beszerzése</t>
  </si>
  <si>
    <t>Európai Unió által finanszírozott pályázatok összesen (9128+9133)</t>
  </si>
  <si>
    <t>Napelemes rendszer telepítése</t>
  </si>
  <si>
    <t>Erzsébet körút 6. félemeletre vezető védett ajtó cseréje</t>
  </si>
  <si>
    <t>Garay utca 5. klímagép korszerűsítése</t>
  </si>
  <si>
    <t>Elektromos ágy 20 (db)</t>
  </si>
  <si>
    <t>Ágymatrac (44 db)</t>
  </si>
  <si>
    <t>Éjjeli szekrény (25 db)</t>
  </si>
  <si>
    <t>AntiDecu matrac kompresszorral (15 db)</t>
  </si>
  <si>
    <t>Ülésmagasító (WC) (15 db)</t>
  </si>
  <si>
    <t>Szagmentes gyűjtőedény 75 literes</t>
  </si>
  <si>
    <t>Ipari mosogatógép</t>
  </si>
  <si>
    <t>Mikrohullámú sütő</t>
  </si>
  <si>
    <t>elektromos ágy (20 db)</t>
  </si>
  <si>
    <t>Ágymatrac + matracvédő (20 db)</t>
  </si>
  <si>
    <t>Gyógyszerelő és kötöző kocsi (3 db)</t>
  </si>
  <si>
    <t>Ülésmagasító (WC) (8 db)</t>
  </si>
  <si>
    <t>Szagmentes gyűjtőedény 75literes (2 db)</t>
  </si>
  <si>
    <t>Házi segítségnyújtás és Jelzőrendszeres házi segítségnyújtás összesen (1)</t>
  </si>
  <si>
    <t>Fém iratszekrény (7 db)</t>
  </si>
  <si>
    <t>Asszisztensi forgószék (2 db)</t>
  </si>
  <si>
    <t>Szárítógép (1 db)</t>
  </si>
  <si>
    <t>Tornaterem VELUX tetőablakok cseréje (9 db)</t>
  </si>
  <si>
    <t>Intézményi szintű vezetékes telefonkészülék csere</t>
  </si>
  <si>
    <t>Takarítási eszközök beszerzése (tolikocsik) (20 db)</t>
  </si>
  <si>
    <t>Pályázati forrásból megvalósuló beruházások (9100+9200)</t>
  </si>
  <si>
    <t>Piacüzemeltetési feladatok</t>
  </si>
  <si>
    <t>Egyéb feladatok</t>
  </si>
  <si>
    <t>Környezet-egészségügyi feladatok</t>
  </si>
  <si>
    <t>Fürdetőszék / szoba WC (9 db)</t>
  </si>
  <si>
    <t>Fürdetőszék / szoba WC (10 db)</t>
  </si>
  <si>
    <t>„Gondolatok Köve” térkompozíció felállítása</t>
  </si>
  <si>
    <t>Hangtechnikai eszköz beszerzése</t>
  </si>
  <si>
    <t>2101-27</t>
  </si>
  <si>
    <t>Erzsébetvárosi Csicsergő Óvoda</t>
  </si>
  <si>
    <t>Vízforraló (1 db)</t>
  </si>
  <si>
    <t>Köznevelési intézmények összesen (2101-21+...+2101-27)</t>
  </si>
  <si>
    <t>2101-23</t>
  </si>
  <si>
    <t>Erzsébetvárosi Brunszvik Teréz Óvoda</t>
  </si>
  <si>
    <t>Mosógéphez összeszerelő keret (1 db)</t>
  </si>
  <si>
    <t>LIFE in RUNOFF című LIFE20 CCA/HU/001774 pályázat
Egyéb tárgyi eszközök beszerzése, létesítése</t>
  </si>
  <si>
    <t>Számítógép, notebook, monitor, tartozékok</t>
  </si>
  <si>
    <t>Nyomvonal kialakítása, vezetékes wifi hálózat építése, bővítése</t>
  </si>
  <si>
    <t>Wifis Smart TV</t>
  </si>
  <si>
    <t>Rack szekrény és polc</t>
  </si>
  <si>
    <t>Dózsa György út 46. Idősek bentlakásos intézménye</t>
  </si>
  <si>
    <t>Ápolás segítő eszközök beszerzése</t>
  </si>
  <si>
    <t>LIFE in RUNOFF című LIFE20 CCA/HU/001774 pályázat
Ingatlanok beszerzése, létesítése</t>
  </si>
  <si>
    <t>Nettó
beruházási
előirányzat
módosítás</t>
  </si>
  <si>
    <t>Előzetesen
felszámított
áfa 
előirányzat
 módosítás</t>
  </si>
  <si>
    <t>Beruházás 
összesen 
(4+5+6+7)</t>
  </si>
  <si>
    <t>LED80WF kültéri logó projektor és full color lencse beszerzése</t>
  </si>
  <si>
    <t>Csányi utca 10. szám alatti zöldudvar kialakítása (Jövő7)</t>
  </si>
  <si>
    <t>Szemeteskuka (2 db)</t>
  </si>
  <si>
    <t>Klauzál tér 11. szám alatti társasház használati díj</t>
  </si>
  <si>
    <t>Szerverpark felújítás, bővítés</t>
  </si>
  <si>
    <t>Civil közösségi központ eszközbeszerzése</t>
  </si>
  <si>
    <t>CRIS -  Cooperate, Reach Out, Integrate Services VS/2021/0243</t>
  </si>
  <si>
    <t>Balatonmáriafürdő kisértékű tárgyi eszközök beszerzése</t>
  </si>
  <si>
    <t>Érvényes nettó 
beruházási 
előirányzat 
(K6)</t>
  </si>
  <si>
    <t>Érvényes előzetesen 
felszámított 
áfa
 (K67)</t>
  </si>
  <si>
    <t>Tornapad (1 db)</t>
  </si>
  <si>
    <t>Játszótér (1 db)</t>
  </si>
  <si>
    <t xml:space="preserve">Magasnyomású mosó (1 db) </t>
  </si>
  <si>
    <t>Intézmények mindösszesen (1101+2101+3101)</t>
  </si>
  <si>
    <t>Dózsa György út 60. Háziorvosi szolgálatok</t>
  </si>
  <si>
    <t>Klímacsere</t>
  </si>
  <si>
    <t>Dohány utca 45. klímabeszerzés</t>
  </si>
  <si>
    <t>Erzsébet körút 6. szám alatti Polgármesteri Hivatal épület tetején elhelyezendő napelemes rendszer megvalósítása (ebből áthúzódó: 7 470)</t>
  </si>
  <si>
    <t>Zöldfelületi fejlesztési terv készítése három helyszínre vonatkozóan (Almássy utca, Kéthly Anna tér, Nefelejcs utca) (Jövő7) (ebből áthúzódó: 5 715)</t>
  </si>
  <si>
    <t>Takarítógép beszerzés (ebből áthúzódó: 33 782)</t>
  </si>
  <si>
    <t>Szállítóeszközök  - zöldfelület fenntartáshoz (ebből áthúzódó: 45 562)</t>
  </si>
  <si>
    <t>Számítástechnikai eszközök beszerzése (ebből áthúzódó: 3 810)</t>
  </si>
  <si>
    <t>Egyéb tárgyi eszközök beszerzése (ebből áthúzódó: 2 408)</t>
  </si>
  <si>
    <t xml:space="preserve">Klauzál téri Csarnok G04 irodahelyiség split klíma </t>
  </si>
  <si>
    <t>Mobiltelefon (6 db)</t>
  </si>
  <si>
    <t>Laptop (4 db)</t>
  </si>
  <si>
    <t>Virágtartó oszlopok javítása és cseréje  (Jövő7)</t>
  </si>
  <si>
    <t>IT szoftver beszerzés</t>
  </si>
  <si>
    <t xml:space="preserve">Vezetékes asztali telefon (2 db) </t>
  </si>
  <si>
    <t>Hűtőgép (1 db)</t>
  </si>
  <si>
    <t>Herzl Tivadar téri emlékmű kivitelezése</t>
  </si>
  <si>
    <t>Kisértékű tárgyi eszközök beszerzése</t>
  </si>
  <si>
    <t>Kerékpár beszerzése hivatali dolgozók részére</t>
  </si>
  <si>
    <t xml:space="preserve">Önkormányzati és EU Parlamenti képviselő választás
  központi forrás
</t>
  </si>
  <si>
    <t xml:space="preserve">Önkormányzati és EU Parlamenti képviselő választás központi forrás összesen (1)
</t>
  </si>
  <si>
    <t>15 db szavazófülke beszerzése</t>
  </si>
  <si>
    <t>Polgármesteri Hivatal mindösszesen (5101+5114)</t>
  </si>
  <si>
    <t>Nyomtatványkiküldő szoftver beszerzése</t>
  </si>
  <si>
    <t>Laptop (2 db)</t>
  </si>
  <si>
    <t>Monitor (1 db)</t>
  </si>
  <si>
    <t>Laptop (3 db)</t>
  </si>
  <si>
    <t>Arckamera (1 db)</t>
  </si>
  <si>
    <t>Gépjármű beszerzés</t>
  </si>
  <si>
    <t xml:space="preserve">2101-22 </t>
  </si>
  <si>
    <t>2101-22</t>
  </si>
  <si>
    <t>Klauzál utca 23. - (Háziorvosi rendelő 9. praxis átvétele)</t>
  </si>
  <si>
    <t>9. praxis eszközbeszerzés</t>
  </si>
  <si>
    <t>Bölcsődei játékok beszerzése</t>
  </si>
  <si>
    <t>Bölcsődei ellátás</t>
  </si>
  <si>
    <t>Nyomtató (1 db)</t>
  </si>
  <si>
    <t>Wifi hálózat bővítésének kiépítése</t>
  </si>
  <si>
    <t>Erzsébetvárosi Dob Óvoda összesen (1)</t>
  </si>
  <si>
    <t>Erzsébetvárosi Dob Óvoda összesen (1+…+6)</t>
  </si>
  <si>
    <t>Csengery utca 25. - Szájsebészet</t>
  </si>
  <si>
    <t>Laptop (7 db)</t>
  </si>
  <si>
    <t>SSD meghajtó (1 db)</t>
  </si>
  <si>
    <t>Előtető készítése nyitott kocsibeállóhoz</t>
  </si>
  <si>
    <t>Garay utca 5. tűzjelző berendezés korszerűsítése</t>
  </si>
  <si>
    <t>Ökrös Oszkár emléktábla kivitelezése</t>
  </si>
  <si>
    <t>Laptop</t>
  </si>
  <si>
    <t>iPad</t>
  </si>
  <si>
    <t>Tablet</t>
  </si>
  <si>
    <t>Erzsébetvárosi Nefelejcs Óvoda összesen (1+2+3+4)</t>
  </si>
  <si>
    <t>Erzsébetváros Rendészeti Igazgatósága összesen (1+2+…+5)</t>
  </si>
  <si>
    <t xml:space="preserve">Elektromos tűzhely (1 db) </t>
  </si>
  <si>
    <t>Mobiltelefon és tartozékainak beszerzése</t>
  </si>
  <si>
    <t>Erzsébetvárosi Kópévár Óvoda összesen (1+2+3+4)</t>
  </si>
  <si>
    <t>Laptop (5 db)</t>
  </si>
  <si>
    <t>Erzsébetvárosi Bóbita Óvoda összesen (1+2)</t>
  </si>
  <si>
    <t>2101-24</t>
  </si>
  <si>
    <t>2101-25</t>
  </si>
  <si>
    <t>Kisértékű tárgyi eszköz beszerzés</t>
  </si>
  <si>
    <t>Tablet (10 db)</t>
  </si>
  <si>
    <t>MacBook (1 db)</t>
  </si>
  <si>
    <t>iPad (1 db)</t>
  </si>
  <si>
    <t>Fejhallgató (5 db)</t>
  </si>
  <si>
    <t>Erzsébetvárosi Brunszvik Teréz Óvoda összesen (1+2+…+6)</t>
  </si>
  <si>
    <t>Kis-értékű informatikai eszközök beszerzése</t>
  </si>
  <si>
    <t>Kombinált sütő</t>
  </si>
  <si>
    <t xml:space="preserve">Csányi utca 6. szám alatti ingatlanra kétszárnyú kapu építése
</t>
  </si>
  <si>
    <t>Asztali számítógép (1 db)</t>
  </si>
  <si>
    <t>Notebook (2 db)</t>
  </si>
  <si>
    <t>Erzsébetvárosi Bóbita Óvoda összesen (1+2+3)</t>
  </si>
  <si>
    <t>Iratmegsemmisítő</t>
  </si>
  <si>
    <t>Mosógépek, szárítógépek</t>
  </si>
  <si>
    <t>Salgópolc</t>
  </si>
  <si>
    <t xml:space="preserve">Dózsa György út 70 - EPÉK Ellátotti pénz – és értékkezelési- és étkeztetési csoport
</t>
  </si>
  <si>
    <t>Kertész utca. 20 - Család és Gyermekjóléti Központ</t>
  </si>
  <si>
    <t>Kialakított helyiségek berendezései (bútorok)</t>
  </si>
  <si>
    <t>Bischitz Johanna Integrált Humán Szolgáltató Központ (1+…+37)</t>
  </si>
  <si>
    <t>Rádiós mikrofon (2 db)</t>
  </si>
  <si>
    <t>Erzsébetvárosi Csicsergő Óvoda összesen (1+…+9)</t>
  </si>
  <si>
    <t xml:space="preserve">Thököly út 21. szám alatti nem lakás célú helyiség felújítása bérleti díjba történő beszámítással
</t>
  </si>
  <si>
    <t xml:space="preserve">Lövölde tér 2/A. szám alatti ingatlanban végzett felújítási költség bérleti díjba történő beszámítása
</t>
  </si>
  <si>
    <t>Miskolctapolca üdülő részére postaláda beszerzése</t>
  </si>
  <si>
    <t>Elektronikus útnyilvántartó eszköz beszerzése</t>
  </si>
  <si>
    <t>Önkormányzati beruházások összesen (1+…+38)</t>
  </si>
  <si>
    <t>Orvosi és asszisztensi forgószék (2 db)</t>
  </si>
  <si>
    <t>Lombfúvó (1 db)</t>
  </si>
  <si>
    <t>Kézszárító berendezések (4 db)</t>
  </si>
  <si>
    <t>Garay utca 5. szerverszoba klímacsere</t>
  </si>
  <si>
    <t>Polgármesteri Hivatal igazgatási feladatai összesen (1+…+17)</t>
  </si>
  <si>
    <t>Life Bauhausing Europe pályázat napelemes rendszer megvalósítása</t>
  </si>
  <si>
    <t>Fővárosi Szolidaritási Alap 2022-1 Akadálymentes Erzsébetvárosért pályázat - Lakásba elhelyezésre kerülő bútorok, háztartási eszközök</t>
  </si>
  <si>
    <t>Fővárosi Önkormányzat által kiírt pályázatok összesen (1+2)</t>
  </si>
  <si>
    <t>"Fedett, zárható kerékpártárolók társasházak, lakótelepek környékén" pályázat - Kerékpártárolók létesítése</t>
  </si>
  <si>
    <t>Hűtőszekrények ellátottak részére (10 db)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</si>
</sst>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E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b/>
      <i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3" fontId="1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3" fontId="1" fillId="0" borderId="2" xfId="0" applyNumberFormat="1" applyFont="1" applyFill="1" applyBorder="1" applyAlignment="1">
      <alignment vertical="center" wrapText="1"/>
    </xf>
    <xf numFmtId="3" fontId="1" fillId="0" borderId="0" xfId="0" applyNumberFormat="1" applyFont="1" applyFill="1" applyAlignment="1">
      <alignment horizontal="left" vertical="center" wrapText="1"/>
    </xf>
    <xf numFmtId="3" fontId="1" fillId="0" borderId="3" xfId="0" applyNumberFormat="1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vertical="center" wrapText="1"/>
    </xf>
    <xf numFmtId="3" fontId="4" fillId="0" borderId="4" xfId="0" applyNumberFormat="1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vertical="center" wrapText="1"/>
    </xf>
    <xf numFmtId="3" fontId="3" fillId="0" borderId="5" xfId="0" applyNumberFormat="1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vertical="center" wrapText="1"/>
    </xf>
    <xf numFmtId="3" fontId="3" fillId="0" borderId="8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vertical="center" wrapText="1"/>
    </xf>
    <xf numFmtId="3" fontId="1" fillId="0" borderId="9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horizontal="center" vertical="center" wrapText="1"/>
    </xf>
    <xf numFmtId="3" fontId="1" fillId="0" borderId="1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right" vertical="center" wrapText="1"/>
    </xf>
    <xf numFmtId="3" fontId="1" fillId="0" borderId="8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 wrapText="1"/>
    </xf>
    <xf numFmtId="3" fontId="4" fillId="0" borderId="4" xfId="0" applyNumberFormat="1" applyFont="1" applyFill="1" applyBorder="1" applyAlignment="1">
      <alignment horizontal="right" vertical="center" wrapText="1"/>
    </xf>
    <xf numFmtId="3" fontId="1" fillId="0" borderId="9" xfId="0" applyNumberFormat="1" applyFont="1" applyFill="1" applyBorder="1" applyAlignment="1">
      <alignment horizontal="right" vertical="center" wrapText="1"/>
    </xf>
    <xf numFmtId="3" fontId="2" fillId="0" borderId="4" xfId="0" applyNumberFormat="1" applyFont="1" applyFill="1" applyBorder="1" applyAlignment="1">
      <alignment horizontal="right" vertical="center" wrapText="1"/>
    </xf>
    <xf numFmtId="3" fontId="2" fillId="0" borderId="13" xfId="0" applyNumberFormat="1" applyFont="1" applyFill="1" applyBorder="1" applyAlignment="1">
      <alignment horizontal="right" vertic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right" vertical="center" wrapText="1"/>
    </xf>
    <xf numFmtId="3" fontId="1" fillId="0" borderId="17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3" fontId="2" fillId="0" borderId="19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19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vertical="center" wrapText="1"/>
    </xf>
    <xf numFmtId="3" fontId="4" fillId="0" borderId="5" xfId="0" applyNumberFormat="1" applyFont="1" applyFill="1" applyBorder="1" applyAlignment="1">
      <alignment horizontal="right" vertical="center" wrapText="1"/>
    </xf>
    <xf numFmtId="3" fontId="2" fillId="0" borderId="5" xfId="0" applyNumberFormat="1" applyFont="1" applyFill="1" applyBorder="1" applyAlignment="1">
      <alignment horizontal="right" vertical="center" wrapText="1"/>
    </xf>
    <xf numFmtId="3" fontId="2" fillId="0" borderId="6" xfId="0" applyNumberFormat="1" applyFont="1" applyFill="1" applyBorder="1" applyAlignment="1">
      <alignment horizontal="right" vertical="center" wrapText="1"/>
    </xf>
    <xf numFmtId="3" fontId="1" fillId="0" borderId="15" xfId="0" applyNumberFormat="1" applyFont="1" applyFill="1" applyBorder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center" vertical="center" wrapText="1"/>
    </xf>
    <xf numFmtId="3" fontId="2" fillId="0" borderId="20" xfId="0" applyNumberFormat="1" applyFont="1" applyFill="1" applyBorder="1" applyAlignment="1">
      <alignment horizontal="center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3" fontId="1" fillId="0" borderId="21" xfId="0" applyNumberFormat="1" applyFont="1" applyFill="1" applyBorder="1" applyAlignment="1">
      <alignment horizontal="center" vertical="center" wrapText="1"/>
    </xf>
    <xf numFmtId="3" fontId="1" fillId="0" borderId="22" xfId="0" applyNumberFormat="1" applyFont="1" applyFill="1" applyBorder="1" applyAlignment="1">
      <alignment horizontal="center" vertical="center" wrapText="1"/>
    </xf>
    <xf numFmtId="3" fontId="1" fillId="0" borderId="23" xfId="0" applyNumberFormat="1" applyFont="1" applyFill="1" applyBorder="1" applyAlignment="1">
      <alignment horizontal="center" vertical="center" wrapText="1"/>
    </xf>
    <xf numFmtId="3" fontId="1" fillId="0" borderId="20" xfId="0" applyNumberFormat="1" applyFont="1" applyFill="1" applyBorder="1" applyAlignment="1">
      <alignment horizontal="center" vertical="center" wrapText="1"/>
    </xf>
    <xf numFmtId="3" fontId="1" fillId="0" borderId="26" xfId="0" applyNumberFormat="1" applyFont="1" applyFill="1" applyBorder="1" applyAlignment="1">
      <alignment horizontal="center" vertical="center" wrapText="1"/>
    </xf>
    <xf numFmtId="1" fontId="2" fillId="0" borderId="25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 vertical="center" wrapText="1"/>
    </xf>
    <xf numFmtId="1" fontId="3" fillId="0" borderId="25" xfId="0" applyNumberFormat="1" applyFont="1" applyFill="1" applyBorder="1" applyAlignment="1">
      <alignment horizontal="center" vertical="center" wrapText="1"/>
    </xf>
    <xf numFmtId="3" fontId="1" fillId="0" borderId="27" xfId="0" applyNumberFormat="1" applyFont="1" applyFill="1" applyBorder="1" applyAlignment="1">
      <alignment horizontal="center" vertical="center" wrapText="1"/>
    </xf>
    <xf numFmtId="1" fontId="1" fillId="0" borderId="25" xfId="0" applyNumberFormat="1" applyFont="1" applyFill="1" applyBorder="1" applyAlignment="1">
      <alignment horizontal="center" vertical="center" wrapText="1"/>
    </xf>
    <xf numFmtId="3" fontId="3" fillId="0" borderId="25" xfId="0" applyNumberFormat="1" applyFont="1" applyFill="1" applyBorder="1" applyAlignment="1">
      <alignment horizontal="center" vertical="center" wrapText="1"/>
    </xf>
    <xf numFmtId="1" fontId="2" fillId="0" borderId="28" xfId="0" applyNumberFormat="1" applyFont="1" applyFill="1" applyBorder="1" applyAlignment="1">
      <alignment horizontal="center" vertical="center" wrapText="1"/>
    </xf>
    <xf numFmtId="1" fontId="1" fillId="0" borderId="29" xfId="0" applyNumberFormat="1" applyFont="1" applyFill="1" applyBorder="1" applyAlignment="1">
      <alignment horizontal="center" vertical="center" wrapText="1"/>
    </xf>
    <xf numFmtId="1" fontId="1" fillId="0" borderId="30" xfId="0" applyNumberFormat="1" applyFont="1" applyFill="1" applyBorder="1" applyAlignment="1">
      <alignment horizontal="center" vertical="center" wrapText="1"/>
    </xf>
    <xf numFmtId="1" fontId="1" fillId="0" borderId="31" xfId="0" applyNumberFormat="1" applyFont="1" applyFill="1" applyBorder="1" applyAlignment="1">
      <alignment horizontal="center" vertical="center" wrapText="1"/>
    </xf>
    <xf numFmtId="1" fontId="1" fillId="0" borderId="28" xfId="0" applyNumberFormat="1" applyFont="1" applyFill="1" applyBorder="1" applyAlignment="1">
      <alignment horizontal="center" vertical="center" wrapText="1"/>
    </xf>
    <xf numFmtId="1" fontId="1" fillId="0" borderId="26" xfId="0" applyNumberFormat="1" applyFont="1" applyFill="1" applyBorder="1" applyAlignment="1">
      <alignment horizontal="center" vertical="center" wrapText="1"/>
    </xf>
    <xf numFmtId="3" fontId="4" fillId="0" borderId="25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left" vertical="center" wrapText="1"/>
    </xf>
    <xf numFmtId="3" fontId="1" fillId="0" borderId="17" xfId="0" applyNumberFormat="1" applyFont="1" applyFill="1" applyBorder="1" applyAlignment="1">
      <alignment horizontal="left" vertical="center" wrapText="1"/>
    </xf>
    <xf numFmtId="3" fontId="2" fillId="0" borderId="19" xfId="0" applyNumberFormat="1" applyFont="1" applyFill="1" applyBorder="1" applyAlignment="1">
      <alignment horizontal="left" vertical="center" wrapText="1"/>
    </xf>
    <xf numFmtId="3" fontId="4" fillId="0" borderId="5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left" vertical="top" wrapText="1"/>
    </xf>
    <xf numFmtId="3" fontId="4" fillId="0" borderId="5" xfId="0" applyNumberFormat="1" applyFont="1" applyFill="1" applyBorder="1" applyAlignment="1">
      <alignment horizontal="left" vertical="top" wrapText="1"/>
    </xf>
    <xf numFmtId="3" fontId="4" fillId="0" borderId="5" xfId="0" applyNumberFormat="1" applyFont="1" applyFill="1" applyBorder="1" applyAlignment="1">
      <alignment vertical="center" wrapText="1"/>
    </xf>
    <xf numFmtId="3" fontId="4" fillId="0" borderId="6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vertical="center"/>
    </xf>
    <xf numFmtId="3" fontId="2" fillId="0" borderId="19" xfId="0" applyNumberFormat="1" applyFont="1" applyFill="1" applyBorder="1" applyAlignment="1">
      <alignment vertical="center"/>
    </xf>
    <xf numFmtId="3" fontId="2" fillId="0" borderId="15" xfId="0" applyNumberFormat="1" applyFont="1" applyFill="1" applyBorder="1" applyAlignment="1">
      <alignment horizontal="center" vertical="center" wrapText="1"/>
    </xf>
    <xf numFmtId="3" fontId="1" fillId="0" borderId="27" xfId="0" applyNumberFormat="1" applyFont="1" applyFill="1" applyBorder="1" applyAlignment="1">
      <alignment horizontal="right" vertical="center" wrapText="1"/>
    </xf>
    <xf numFmtId="1" fontId="1" fillId="0" borderId="27" xfId="0" applyNumberFormat="1" applyFont="1" applyFill="1" applyBorder="1" applyAlignment="1">
      <alignment horizontal="center" vertical="center" wrapText="1"/>
    </xf>
    <xf numFmtId="1" fontId="1" fillId="0" borderId="8" xfId="0" applyNumberFormat="1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left" vertical="center" wrapText="1"/>
    </xf>
    <xf numFmtId="3" fontId="1" fillId="0" borderId="30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right" vertical="center" wrapText="1"/>
    </xf>
    <xf numFmtId="3" fontId="1" fillId="0" borderId="14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right" vertical="center" wrapText="1"/>
    </xf>
    <xf numFmtId="1" fontId="2" fillId="0" borderId="24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left" vertical="center" wrapText="1"/>
    </xf>
    <xf numFmtId="3" fontId="1" fillId="0" borderId="3" xfId="0" applyNumberFormat="1" applyFont="1" applyFill="1" applyBorder="1" applyAlignment="1">
      <alignment horizontal="right" vertical="center" wrapText="1"/>
    </xf>
    <xf numFmtId="3" fontId="1" fillId="0" borderId="19" xfId="0" applyNumberFormat="1" applyFont="1" applyFill="1" applyBorder="1" applyAlignment="1">
      <alignment horizontal="right" vertical="center" wrapText="1"/>
    </xf>
    <xf numFmtId="3" fontId="1" fillId="0" borderId="31" xfId="0" applyNumberFormat="1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right" vertical="center" wrapText="1"/>
    </xf>
    <xf numFmtId="3" fontId="1" fillId="0" borderId="6" xfId="0" applyNumberFormat="1" applyFont="1" applyFill="1" applyBorder="1" applyAlignment="1">
      <alignment horizontal="right" vertical="center" wrapText="1"/>
    </xf>
    <xf numFmtId="3" fontId="3" fillId="0" borderId="6" xfId="0" applyNumberFormat="1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left" vertical="center" wrapText="1"/>
    </xf>
    <xf numFmtId="3" fontId="1" fillId="0" borderId="2" xfId="0" applyNumberFormat="1" applyFont="1" applyFill="1" applyBorder="1" applyAlignment="1">
      <alignment horizontal="left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left" vertical="center"/>
    </xf>
    <xf numFmtId="1" fontId="1" fillId="0" borderId="13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left" vertical="center"/>
    </xf>
    <xf numFmtId="3" fontId="3" fillId="0" borderId="1" xfId="0" applyNumberFormat="1" applyFont="1" applyFill="1" applyBorder="1" applyAlignment="1">
      <alignment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2" fillId="0" borderId="24" xfId="0" applyNumberFormat="1" applyFont="1" applyFill="1" applyBorder="1" applyAlignment="1">
      <alignment horizontal="center" vertical="center" wrapText="1"/>
    </xf>
    <xf numFmtId="3" fontId="2" fillId="0" borderId="25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14" xfId="0" applyNumberFormat="1" applyFont="1" applyFill="1" applyBorder="1" applyAlignment="1">
      <alignment horizontal="center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6"/>
  <sheetViews>
    <sheetView tabSelected="1" view="pageBreakPreview" zoomScale="70" zoomScaleNormal="70" zoomScaleSheetLayoutView="70" workbookViewId="0">
      <pane xSplit="3" ySplit="9" topLeftCell="D20" activePane="bottomRight" state="frozen"/>
      <selection pane="topRight" activeCell="D1" sqref="D1"/>
      <selection pane="bottomLeft" activeCell="A10" sqref="A10"/>
      <selection pane="bottomRight" activeCell="C30" sqref="C30"/>
    </sheetView>
  </sheetViews>
  <sheetFormatPr defaultColWidth="9.140625" defaultRowHeight="18.75" x14ac:dyDescent="0.2"/>
  <cols>
    <col min="1" max="1" width="12" style="6" bestFit="1" customWidth="1"/>
    <col min="2" max="2" width="12" style="1" customWidth="1"/>
    <col min="3" max="3" width="97.85546875" style="2" customWidth="1"/>
    <col min="4" max="4" width="19.5703125" style="6" customWidth="1"/>
    <col min="5" max="8" width="19.5703125" style="1" customWidth="1"/>
    <col min="9" max="9" width="10.42578125" style="19" bestFit="1" customWidth="1"/>
    <col min="10" max="10" width="9.140625" style="1"/>
    <col min="11" max="11" width="11.42578125" style="1" bestFit="1" customWidth="1"/>
    <col min="12" max="16384" width="9.140625" style="1"/>
  </cols>
  <sheetData>
    <row r="1" spans="1:9" ht="18.75" customHeight="1" x14ac:dyDescent="0.2">
      <c r="A1" s="126" t="s">
        <v>2</v>
      </c>
      <c r="B1" s="126"/>
      <c r="C1" s="126"/>
      <c r="D1" s="126"/>
      <c r="E1" s="126"/>
      <c r="F1" s="126"/>
      <c r="G1" s="126"/>
      <c r="H1" s="126"/>
      <c r="I1" s="126"/>
    </row>
    <row r="2" spans="1:9" ht="18.75" customHeight="1" x14ac:dyDescent="0.2">
      <c r="A2" s="126" t="s">
        <v>42</v>
      </c>
      <c r="B2" s="126"/>
      <c r="C2" s="126"/>
      <c r="D2" s="126"/>
      <c r="E2" s="126"/>
      <c r="F2" s="126"/>
      <c r="G2" s="126"/>
      <c r="H2" s="126"/>
      <c r="I2" s="126"/>
    </row>
    <row r="3" spans="1:9" ht="18.75" customHeight="1" x14ac:dyDescent="0.2">
      <c r="A3" s="17"/>
      <c r="B3" s="17"/>
      <c r="C3" s="17"/>
      <c r="D3" s="17"/>
      <c r="E3" s="22"/>
      <c r="F3" s="17"/>
      <c r="G3" s="17"/>
      <c r="H3" s="17"/>
      <c r="I3" s="17"/>
    </row>
    <row r="4" spans="1:9" ht="18.75" customHeight="1" x14ac:dyDescent="0.2">
      <c r="A4" s="17"/>
      <c r="B4" s="17"/>
      <c r="C4" s="17"/>
      <c r="D4" s="17"/>
      <c r="E4" s="22"/>
      <c r="F4" s="17"/>
      <c r="G4" s="17"/>
      <c r="H4" s="17"/>
      <c r="I4" s="17"/>
    </row>
    <row r="5" spans="1:9" ht="19.5" thickBot="1" x14ac:dyDescent="0.25">
      <c r="A5" s="3"/>
      <c r="B5" s="3"/>
      <c r="C5" s="4"/>
      <c r="D5" s="4"/>
      <c r="E5" s="4"/>
      <c r="F5" s="4"/>
      <c r="G5" s="4"/>
      <c r="H5" s="5" t="s">
        <v>0</v>
      </c>
      <c r="I5" s="3"/>
    </row>
    <row r="6" spans="1:9" ht="15.75" customHeight="1" x14ac:dyDescent="0.2">
      <c r="A6" s="127" t="s">
        <v>12</v>
      </c>
      <c r="B6" s="130" t="s">
        <v>18</v>
      </c>
      <c r="C6" s="129" t="s">
        <v>1</v>
      </c>
      <c r="D6" s="130" t="s">
        <v>153</v>
      </c>
      <c r="E6" s="130" t="s">
        <v>154</v>
      </c>
      <c r="F6" s="129" t="s">
        <v>142</v>
      </c>
      <c r="G6" s="130" t="s">
        <v>143</v>
      </c>
      <c r="H6" s="130" t="s">
        <v>144</v>
      </c>
      <c r="I6" s="132" t="s">
        <v>11</v>
      </c>
    </row>
    <row r="7" spans="1:9" x14ac:dyDescent="0.2">
      <c r="A7" s="128"/>
      <c r="B7" s="131"/>
      <c r="C7" s="126"/>
      <c r="D7" s="131"/>
      <c r="E7" s="131"/>
      <c r="F7" s="126"/>
      <c r="G7" s="131"/>
      <c r="H7" s="131"/>
      <c r="I7" s="133"/>
    </row>
    <row r="8" spans="1:9" ht="19.5" customHeight="1" x14ac:dyDescent="0.2">
      <c r="A8" s="128"/>
      <c r="B8" s="131"/>
      <c r="C8" s="126"/>
      <c r="D8" s="131"/>
      <c r="E8" s="131"/>
      <c r="F8" s="126"/>
      <c r="G8" s="131"/>
      <c r="H8" s="131"/>
      <c r="I8" s="133"/>
    </row>
    <row r="9" spans="1:9" ht="37.5" customHeight="1" x14ac:dyDescent="0.2">
      <c r="A9" s="128"/>
      <c r="B9" s="134"/>
      <c r="C9" s="126"/>
      <c r="D9" s="131"/>
      <c r="E9" s="131"/>
      <c r="F9" s="135"/>
      <c r="G9" s="134"/>
      <c r="H9" s="131"/>
      <c r="I9" s="133"/>
    </row>
    <row r="10" spans="1:9" ht="19.5" thickBot="1" x14ac:dyDescent="0.25">
      <c r="A10" s="57">
        <v>1</v>
      </c>
      <c r="B10" s="24">
        <v>2</v>
      </c>
      <c r="C10" s="37">
        <v>3</v>
      </c>
      <c r="D10" s="24">
        <v>4</v>
      </c>
      <c r="E10" s="24">
        <v>5</v>
      </c>
      <c r="F10" s="37">
        <v>6</v>
      </c>
      <c r="G10" s="24">
        <v>7</v>
      </c>
      <c r="H10" s="24">
        <v>8</v>
      </c>
      <c r="I10" s="23">
        <v>9</v>
      </c>
    </row>
    <row r="11" spans="1:9" ht="31.5" customHeight="1" x14ac:dyDescent="0.2">
      <c r="A11" s="58">
        <v>1101</v>
      </c>
      <c r="B11" s="82"/>
      <c r="C11" s="71" t="s">
        <v>19</v>
      </c>
      <c r="D11" s="25"/>
      <c r="E11" s="25"/>
      <c r="F11" s="19"/>
      <c r="G11" s="25"/>
      <c r="H11" s="25"/>
      <c r="I11" s="48"/>
    </row>
    <row r="12" spans="1:9" ht="31.5" customHeight="1" x14ac:dyDescent="0.2">
      <c r="A12" s="58"/>
      <c r="B12" s="82"/>
      <c r="C12" s="72" t="s">
        <v>93</v>
      </c>
      <c r="D12" s="25"/>
      <c r="E12" s="25"/>
      <c r="F12" s="19"/>
      <c r="G12" s="25"/>
      <c r="H12" s="25"/>
      <c r="I12" s="48"/>
    </row>
    <row r="13" spans="1:9" s="13" customFormat="1" ht="31.5" customHeight="1" x14ac:dyDescent="0.2">
      <c r="A13" s="59"/>
      <c r="B13" s="25">
        <v>1</v>
      </c>
      <c r="C13" s="73" t="s">
        <v>94</v>
      </c>
      <c r="D13" s="26">
        <f>3937+1031</f>
        <v>4968</v>
      </c>
      <c r="E13" s="26">
        <f>1063+279</f>
        <v>1342</v>
      </c>
      <c r="F13" s="38">
        <f>839+1592</f>
        <v>2431</v>
      </c>
      <c r="G13" s="26">
        <f>226+430</f>
        <v>656</v>
      </c>
      <c r="H13" s="26">
        <f>SUM(D13:G13)</f>
        <v>9397</v>
      </c>
      <c r="I13" s="48" t="s">
        <v>26</v>
      </c>
    </row>
    <row r="14" spans="1:9" s="12" customFormat="1" ht="31.5" customHeight="1" x14ac:dyDescent="0.2">
      <c r="A14" s="60"/>
      <c r="B14" s="83">
        <v>2</v>
      </c>
      <c r="C14" s="73" t="s">
        <v>43</v>
      </c>
      <c r="D14" s="26">
        <v>14440</v>
      </c>
      <c r="E14" s="26">
        <v>3899</v>
      </c>
      <c r="F14" s="38"/>
      <c r="G14" s="26"/>
      <c r="H14" s="26">
        <f>SUM(D14:G14)</f>
        <v>18339</v>
      </c>
      <c r="I14" s="48" t="s">
        <v>26</v>
      </c>
    </row>
    <row r="15" spans="1:9" s="13" customFormat="1" ht="31.5" customHeight="1" x14ac:dyDescent="0.2">
      <c r="A15" s="60"/>
      <c r="B15" s="83">
        <v>3</v>
      </c>
      <c r="C15" s="73" t="s">
        <v>135</v>
      </c>
      <c r="D15" s="26">
        <v>42125</v>
      </c>
      <c r="E15" s="26">
        <v>11374</v>
      </c>
      <c r="F15" s="38">
        <f>-22343-332-40</f>
        <v>-22715</v>
      </c>
      <c r="G15" s="26">
        <f>-6033-90-11</f>
        <v>-6134</v>
      </c>
      <c r="H15" s="26">
        <f>SUM(D15:G15)</f>
        <v>24650</v>
      </c>
      <c r="I15" s="48" t="s">
        <v>26</v>
      </c>
    </row>
    <row r="16" spans="1:9" s="13" customFormat="1" ht="31.5" customHeight="1" x14ac:dyDescent="0.2">
      <c r="A16" s="59"/>
      <c r="B16" s="25">
        <v>4</v>
      </c>
      <c r="C16" s="73" t="s">
        <v>136</v>
      </c>
      <c r="D16" s="26">
        <v>6410</v>
      </c>
      <c r="E16" s="26">
        <v>1730</v>
      </c>
      <c r="F16" s="38"/>
      <c r="G16" s="26"/>
      <c r="H16" s="26">
        <f>SUM(D16:G16)</f>
        <v>8140</v>
      </c>
      <c r="I16" s="48" t="s">
        <v>26</v>
      </c>
    </row>
    <row r="17" spans="1:9" s="12" customFormat="1" ht="31.5" customHeight="1" x14ac:dyDescent="0.2">
      <c r="A17" s="60"/>
      <c r="B17" s="83">
        <v>5</v>
      </c>
      <c r="C17" s="73" t="s">
        <v>137</v>
      </c>
      <c r="D17" s="26">
        <v>504</v>
      </c>
      <c r="E17" s="26">
        <v>136</v>
      </c>
      <c r="F17" s="38">
        <f>40</f>
        <v>40</v>
      </c>
      <c r="G17" s="26">
        <f>11</f>
        <v>11</v>
      </c>
      <c r="H17" s="26">
        <f>SUM(D17:G17)</f>
        <v>691</v>
      </c>
      <c r="I17" s="48" t="s">
        <v>26</v>
      </c>
    </row>
    <row r="18" spans="1:9" s="13" customFormat="1" ht="31.5" customHeight="1" x14ac:dyDescent="0.2">
      <c r="A18" s="59"/>
      <c r="B18" s="25">
        <v>6</v>
      </c>
      <c r="C18" s="73" t="s">
        <v>138</v>
      </c>
      <c r="D18" s="26">
        <v>70</v>
      </c>
      <c r="E18" s="26">
        <v>19</v>
      </c>
      <c r="F18" s="38"/>
      <c r="G18" s="26"/>
      <c r="H18" s="26">
        <f t="shared" ref="H18:H40" si="0">SUM(D18:G18)</f>
        <v>89</v>
      </c>
      <c r="I18" s="48" t="s">
        <v>26</v>
      </c>
    </row>
    <row r="19" spans="1:9" s="13" customFormat="1" ht="31.5" customHeight="1" x14ac:dyDescent="0.2">
      <c r="A19" s="59"/>
      <c r="B19" s="25">
        <v>7</v>
      </c>
      <c r="C19" s="73" t="s">
        <v>187</v>
      </c>
      <c r="D19" s="26">
        <v>3772</v>
      </c>
      <c r="E19" s="26">
        <v>1018</v>
      </c>
      <c r="F19" s="38">
        <f>-71</f>
        <v>-71</v>
      </c>
      <c r="G19" s="26">
        <f>-19</f>
        <v>-19</v>
      </c>
      <c r="H19" s="26">
        <f>SUM(D19:G19)</f>
        <v>4700</v>
      </c>
      <c r="I19" s="48" t="s">
        <v>26</v>
      </c>
    </row>
    <row r="20" spans="1:9" s="13" customFormat="1" ht="31.5" customHeight="1" x14ac:dyDescent="0.2">
      <c r="A20" s="59"/>
      <c r="B20" s="25">
        <v>8</v>
      </c>
      <c r="C20" s="73" t="s">
        <v>222</v>
      </c>
      <c r="D20" s="26"/>
      <c r="E20" s="26"/>
      <c r="F20" s="38">
        <v>736</v>
      </c>
      <c r="G20" s="26">
        <v>199</v>
      </c>
      <c r="H20" s="26">
        <f>SUM(D20:G20)</f>
        <v>935</v>
      </c>
      <c r="I20" s="48" t="s">
        <v>26</v>
      </c>
    </row>
    <row r="21" spans="1:9" s="13" customFormat="1" ht="31.5" customHeight="1" x14ac:dyDescent="0.2">
      <c r="A21" s="61"/>
      <c r="B21" s="84">
        <v>9</v>
      </c>
      <c r="C21" s="74" t="s">
        <v>228</v>
      </c>
      <c r="D21" s="27"/>
      <c r="E21" s="27"/>
      <c r="F21" s="39">
        <f>236</f>
        <v>236</v>
      </c>
      <c r="G21" s="27">
        <f>64</f>
        <v>64</v>
      </c>
      <c r="H21" s="27">
        <f>SUM(D21:G21)</f>
        <v>300</v>
      </c>
      <c r="I21" s="49" t="s">
        <v>26</v>
      </c>
    </row>
    <row r="22" spans="1:9" ht="31.5" customHeight="1" x14ac:dyDescent="0.2">
      <c r="A22" s="62"/>
      <c r="B22" s="83"/>
      <c r="C22" s="72" t="s">
        <v>139</v>
      </c>
      <c r="D22" s="26"/>
      <c r="E22" s="26"/>
      <c r="F22" s="38"/>
      <c r="G22" s="26"/>
      <c r="H22" s="26"/>
      <c r="I22" s="48"/>
    </row>
    <row r="23" spans="1:9" s="13" customFormat="1" ht="31.5" customHeight="1" x14ac:dyDescent="0.2">
      <c r="A23" s="59"/>
      <c r="B23" s="25">
        <v>10</v>
      </c>
      <c r="C23" s="73" t="s">
        <v>140</v>
      </c>
      <c r="D23" s="26">
        <v>8219</v>
      </c>
      <c r="E23" s="26">
        <v>2218</v>
      </c>
      <c r="F23" s="38">
        <f>1740</f>
        <v>1740</v>
      </c>
      <c r="G23" s="26">
        <f>471</f>
        <v>471</v>
      </c>
      <c r="H23" s="26">
        <f>SUM(D23:G23)</f>
        <v>12648</v>
      </c>
      <c r="I23" s="48" t="s">
        <v>26</v>
      </c>
    </row>
    <row r="24" spans="1:9" s="13" customFormat="1" ht="31.5" customHeight="1" x14ac:dyDescent="0.2">
      <c r="A24" s="59"/>
      <c r="B24" s="25">
        <v>11</v>
      </c>
      <c r="C24" s="73" t="s">
        <v>105</v>
      </c>
      <c r="D24" s="26">
        <v>709</v>
      </c>
      <c r="E24" s="26">
        <v>191</v>
      </c>
      <c r="F24" s="38">
        <f>-37</f>
        <v>-37</v>
      </c>
      <c r="G24" s="26">
        <f>-10</f>
        <v>-10</v>
      </c>
      <c r="H24" s="26">
        <f t="shared" ref="H24:H28" si="1">SUM(D24:G24)</f>
        <v>853</v>
      </c>
      <c r="I24" s="48" t="s">
        <v>26</v>
      </c>
    </row>
    <row r="25" spans="1:9" s="13" customFormat="1" ht="31.5" customHeight="1" x14ac:dyDescent="0.2">
      <c r="A25" s="59"/>
      <c r="B25" s="25">
        <v>12</v>
      </c>
      <c r="C25" s="73" t="s">
        <v>106</v>
      </c>
      <c r="D25" s="26">
        <v>110</v>
      </c>
      <c r="E25" s="26">
        <v>30</v>
      </c>
      <c r="F25" s="38">
        <f>-16</f>
        <v>-16</v>
      </c>
      <c r="G25" s="26">
        <f>-4</f>
        <v>-4</v>
      </c>
      <c r="H25" s="26">
        <f t="shared" si="1"/>
        <v>120</v>
      </c>
      <c r="I25" s="48" t="s">
        <v>26</v>
      </c>
    </row>
    <row r="26" spans="1:9" s="13" customFormat="1" ht="31.5" customHeight="1" x14ac:dyDescent="0.2">
      <c r="A26" s="59"/>
      <c r="B26" s="25">
        <v>13</v>
      </c>
      <c r="C26" s="73" t="s">
        <v>229</v>
      </c>
      <c r="D26" s="26"/>
      <c r="E26" s="26"/>
      <c r="F26" s="38">
        <f>709</f>
        <v>709</v>
      </c>
      <c r="G26" s="26">
        <f>191</f>
        <v>191</v>
      </c>
      <c r="H26" s="26">
        <f t="shared" si="1"/>
        <v>900</v>
      </c>
      <c r="I26" s="48" t="s">
        <v>26</v>
      </c>
    </row>
    <row r="27" spans="1:9" s="13" customFormat="1" ht="31.5" customHeight="1" x14ac:dyDescent="0.2">
      <c r="A27" s="59"/>
      <c r="B27" s="25">
        <v>14</v>
      </c>
      <c r="C27" s="73" t="s">
        <v>230</v>
      </c>
      <c r="D27" s="26"/>
      <c r="E27" s="26"/>
      <c r="F27" s="38">
        <f>443</f>
        <v>443</v>
      </c>
      <c r="G27" s="26">
        <f>120</f>
        <v>120</v>
      </c>
      <c r="H27" s="26">
        <f t="shared" si="1"/>
        <v>563</v>
      </c>
      <c r="I27" s="48" t="s">
        <v>26</v>
      </c>
    </row>
    <row r="28" spans="1:9" s="13" customFormat="1" ht="31.5" customHeight="1" x14ac:dyDescent="0.2">
      <c r="A28" s="59"/>
      <c r="B28" s="25">
        <v>15</v>
      </c>
      <c r="C28" s="73" t="s">
        <v>228</v>
      </c>
      <c r="D28" s="26"/>
      <c r="E28" s="26"/>
      <c r="F28" s="38">
        <f>236</f>
        <v>236</v>
      </c>
      <c r="G28" s="26">
        <f>64</f>
        <v>64</v>
      </c>
      <c r="H28" s="26">
        <f t="shared" si="1"/>
        <v>300</v>
      </c>
      <c r="I28" s="48" t="s">
        <v>26</v>
      </c>
    </row>
    <row r="29" spans="1:9" s="13" customFormat="1" ht="31.5" customHeight="1" x14ac:dyDescent="0.2">
      <c r="A29" s="59"/>
      <c r="B29" s="25">
        <v>16</v>
      </c>
      <c r="C29" s="73" t="s">
        <v>251</v>
      </c>
      <c r="D29" s="26"/>
      <c r="E29" s="26"/>
      <c r="F29" s="38">
        <f>480</f>
        <v>480</v>
      </c>
      <c r="G29" s="26">
        <f>130</f>
        <v>130</v>
      </c>
      <c r="H29" s="26">
        <f>SUM(D29:G29)</f>
        <v>610</v>
      </c>
      <c r="I29" s="48" t="s">
        <v>26</v>
      </c>
    </row>
    <row r="30" spans="1:9" ht="31.5" customHeight="1" x14ac:dyDescent="0.2">
      <c r="A30" s="67"/>
      <c r="B30" s="122"/>
      <c r="C30" s="117" t="s">
        <v>37</v>
      </c>
      <c r="D30" s="115"/>
      <c r="E30" s="115"/>
      <c r="F30" s="116"/>
      <c r="G30" s="115"/>
      <c r="H30" s="115"/>
      <c r="I30" s="55"/>
    </row>
    <row r="31" spans="1:9" s="13" customFormat="1" ht="31.5" customHeight="1" x14ac:dyDescent="0.2">
      <c r="A31" s="59"/>
      <c r="B31" s="25">
        <v>17</v>
      </c>
      <c r="C31" s="73" t="s">
        <v>140</v>
      </c>
      <c r="D31" s="26">
        <v>11318</v>
      </c>
      <c r="E31" s="26">
        <v>3058</v>
      </c>
      <c r="F31" s="38">
        <f>-1075</f>
        <v>-1075</v>
      </c>
      <c r="G31" s="26">
        <f>-293</f>
        <v>-293</v>
      </c>
      <c r="H31" s="26">
        <f t="shared" si="0"/>
        <v>13008</v>
      </c>
      <c r="I31" s="48" t="s">
        <v>26</v>
      </c>
    </row>
    <row r="32" spans="1:9" ht="31.5" customHeight="1" x14ac:dyDescent="0.2">
      <c r="A32" s="62"/>
      <c r="B32" s="83">
        <v>18</v>
      </c>
      <c r="C32" s="73" t="s">
        <v>49</v>
      </c>
      <c r="D32" s="26">
        <v>0</v>
      </c>
      <c r="E32" s="26">
        <v>0</v>
      </c>
      <c r="F32" s="38"/>
      <c r="G32" s="26"/>
      <c r="H32" s="26">
        <f t="shared" ref="H32:H34" si="2">SUM(D32:G32)</f>
        <v>0</v>
      </c>
      <c r="I32" s="48" t="s">
        <v>26</v>
      </c>
    </row>
    <row r="33" spans="1:9" ht="31.5" customHeight="1" x14ac:dyDescent="0.2">
      <c r="A33" s="62"/>
      <c r="B33" s="25">
        <v>19</v>
      </c>
      <c r="C33" s="73" t="s">
        <v>105</v>
      </c>
      <c r="D33" s="26">
        <v>709</v>
      </c>
      <c r="E33" s="26">
        <v>191</v>
      </c>
      <c r="F33" s="38">
        <f>-37</f>
        <v>-37</v>
      </c>
      <c r="G33" s="26">
        <f>-10</f>
        <v>-10</v>
      </c>
      <c r="H33" s="26">
        <f t="shared" si="2"/>
        <v>853</v>
      </c>
      <c r="I33" s="48" t="s">
        <v>26</v>
      </c>
    </row>
    <row r="34" spans="1:9" ht="31.5" customHeight="1" x14ac:dyDescent="0.2">
      <c r="A34" s="62"/>
      <c r="B34" s="25">
        <v>20</v>
      </c>
      <c r="C34" s="73" t="s">
        <v>106</v>
      </c>
      <c r="D34" s="26">
        <v>110</v>
      </c>
      <c r="E34" s="26">
        <v>30</v>
      </c>
      <c r="F34" s="38">
        <f>-16</f>
        <v>-16</v>
      </c>
      <c r="G34" s="26">
        <f>-4</f>
        <v>-4</v>
      </c>
      <c r="H34" s="26">
        <f t="shared" si="2"/>
        <v>120</v>
      </c>
      <c r="I34" s="48" t="s">
        <v>26</v>
      </c>
    </row>
    <row r="35" spans="1:9" ht="31.5" customHeight="1" x14ac:dyDescent="0.2">
      <c r="A35" s="100"/>
      <c r="B35" s="101">
        <v>21</v>
      </c>
      <c r="C35" s="74" t="s">
        <v>229</v>
      </c>
      <c r="D35" s="27"/>
      <c r="E35" s="27"/>
      <c r="F35" s="39">
        <f>709</f>
        <v>709</v>
      </c>
      <c r="G35" s="27">
        <f>191</f>
        <v>191</v>
      </c>
      <c r="H35" s="27">
        <f>SUM(D35:G35)</f>
        <v>900</v>
      </c>
      <c r="I35" s="49" t="s">
        <v>26</v>
      </c>
    </row>
    <row r="36" spans="1:9" s="13" customFormat="1" ht="31.5" customHeight="1" x14ac:dyDescent="0.2">
      <c r="A36" s="63"/>
      <c r="B36" s="85"/>
      <c r="C36" s="72" t="s">
        <v>86</v>
      </c>
      <c r="D36" s="28"/>
      <c r="E36" s="28"/>
      <c r="F36" s="40"/>
      <c r="G36" s="28"/>
      <c r="H36" s="26"/>
      <c r="I36" s="50"/>
    </row>
    <row r="37" spans="1:9" s="13" customFormat="1" ht="31.5" customHeight="1" x14ac:dyDescent="0.2">
      <c r="A37" s="59"/>
      <c r="B37" s="25">
        <v>22</v>
      </c>
      <c r="C37" s="73" t="s">
        <v>96</v>
      </c>
      <c r="D37" s="26">
        <f>828+551</f>
        <v>1379</v>
      </c>
      <c r="E37" s="26">
        <f>224+149</f>
        <v>373</v>
      </c>
      <c r="F37" s="38">
        <f>-20</f>
        <v>-20</v>
      </c>
      <c r="G37" s="26"/>
      <c r="H37" s="26">
        <f t="shared" si="0"/>
        <v>1732</v>
      </c>
      <c r="I37" s="48" t="s">
        <v>26</v>
      </c>
    </row>
    <row r="38" spans="1:9" s="13" customFormat="1" ht="31.5" customHeight="1" x14ac:dyDescent="0.2">
      <c r="A38" s="61"/>
      <c r="B38" s="84">
        <v>23</v>
      </c>
      <c r="C38" s="74" t="s">
        <v>223</v>
      </c>
      <c r="D38" s="27"/>
      <c r="E38" s="27"/>
      <c r="F38" s="39">
        <f>1969-1969</f>
        <v>0</v>
      </c>
      <c r="G38" s="27">
        <f>531-531</f>
        <v>0</v>
      </c>
      <c r="H38" s="27">
        <f t="shared" si="0"/>
        <v>0</v>
      </c>
      <c r="I38" s="49" t="s">
        <v>26</v>
      </c>
    </row>
    <row r="39" spans="1:9" s="13" customFormat="1" ht="31.5" customHeight="1" x14ac:dyDescent="0.2">
      <c r="A39" s="63"/>
      <c r="B39" s="85"/>
      <c r="C39" s="72" t="s">
        <v>87</v>
      </c>
      <c r="D39" s="28"/>
      <c r="E39" s="28"/>
      <c r="F39" s="40"/>
      <c r="G39" s="28"/>
      <c r="H39" s="28"/>
      <c r="I39" s="50"/>
    </row>
    <row r="40" spans="1:9" s="13" customFormat="1" ht="31.5" customHeight="1" x14ac:dyDescent="0.2">
      <c r="A40" s="61"/>
      <c r="B40" s="84">
        <v>24</v>
      </c>
      <c r="C40" s="74" t="s">
        <v>96</v>
      </c>
      <c r="D40" s="27">
        <f>684+315</f>
        <v>999</v>
      </c>
      <c r="E40" s="27">
        <f>185+85</f>
        <v>270</v>
      </c>
      <c r="F40" s="39">
        <f>1</f>
        <v>1</v>
      </c>
      <c r="G40" s="27"/>
      <c r="H40" s="27">
        <f t="shared" si="0"/>
        <v>1270</v>
      </c>
      <c r="I40" s="49" t="s">
        <v>26</v>
      </c>
    </row>
    <row r="41" spans="1:9" s="13" customFormat="1" ht="31.5" customHeight="1" x14ac:dyDescent="0.2">
      <c r="A41" s="63"/>
      <c r="B41" s="85"/>
      <c r="C41" s="72" t="s">
        <v>193</v>
      </c>
      <c r="D41" s="28"/>
      <c r="E41" s="28"/>
      <c r="F41" s="40"/>
      <c r="G41" s="28"/>
      <c r="H41" s="28"/>
      <c r="I41" s="50"/>
    </row>
    <row r="42" spans="1:9" s="13" customFormat="1" ht="31.5" customHeight="1" x14ac:dyDescent="0.2">
      <c r="A42" s="61"/>
      <c r="B42" s="84">
        <v>25</v>
      </c>
      <c r="C42" s="74" t="s">
        <v>192</v>
      </c>
      <c r="D42" s="27">
        <v>3150</v>
      </c>
      <c r="E42" s="27">
        <v>850</v>
      </c>
      <c r="F42" s="39">
        <f>-1736</f>
        <v>-1736</v>
      </c>
      <c r="G42" s="27">
        <f>-468</f>
        <v>-468</v>
      </c>
      <c r="H42" s="27">
        <f t="shared" ref="H42" si="3">SUM(D42:G42)</f>
        <v>1796</v>
      </c>
      <c r="I42" s="49" t="s">
        <v>26</v>
      </c>
    </row>
    <row r="43" spans="1:9" s="13" customFormat="1" ht="31.5" customHeight="1" x14ac:dyDescent="0.2">
      <c r="A43" s="63"/>
      <c r="B43" s="85"/>
      <c r="C43" s="72" t="s">
        <v>190</v>
      </c>
      <c r="D43" s="28"/>
      <c r="E43" s="28"/>
      <c r="F43" s="40"/>
      <c r="G43" s="28"/>
      <c r="H43" s="28"/>
      <c r="I43" s="50"/>
    </row>
    <row r="44" spans="1:9" s="13" customFormat="1" ht="31.5" customHeight="1" x14ac:dyDescent="0.2">
      <c r="A44" s="61"/>
      <c r="B44" s="84">
        <v>26</v>
      </c>
      <c r="C44" s="74" t="s">
        <v>191</v>
      </c>
      <c r="D44" s="27">
        <v>2362</v>
      </c>
      <c r="E44" s="27">
        <v>638</v>
      </c>
      <c r="F44" s="39">
        <f>-1221</f>
        <v>-1221</v>
      </c>
      <c r="G44" s="27">
        <f>-330</f>
        <v>-330</v>
      </c>
      <c r="H44" s="27">
        <f t="shared" ref="H44" si="4">SUM(D44:G44)</f>
        <v>1449</v>
      </c>
      <c r="I44" s="49" t="s">
        <v>26</v>
      </c>
    </row>
    <row r="45" spans="1:9" s="13" customFormat="1" ht="31.5" customHeight="1" x14ac:dyDescent="0.2">
      <c r="A45" s="63"/>
      <c r="B45" s="85"/>
      <c r="C45" s="72" t="s">
        <v>88</v>
      </c>
      <c r="D45" s="28"/>
      <c r="E45" s="28"/>
      <c r="F45" s="40"/>
      <c r="G45" s="28"/>
      <c r="H45" s="28"/>
      <c r="I45" s="50"/>
    </row>
    <row r="46" spans="1:9" s="13" customFormat="1" ht="31.5" customHeight="1" x14ac:dyDescent="0.2">
      <c r="A46" s="61"/>
      <c r="B46" s="84">
        <v>27</v>
      </c>
      <c r="C46" s="74" t="s">
        <v>89</v>
      </c>
      <c r="D46" s="27">
        <v>2466</v>
      </c>
      <c r="E46" s="27">
        <v>666</v>
      </c>
      <c r="F46" s="39"/>
      <c r="G46" s="27"/>
      <c r="H46" s="27">
        <f t="shared" ref="H46:H47" si="5">SUM(D46:G46)</f>
        <v>3132</v>
      </c>
      <c r="I46" s="49" t="s">
        <v>26</v>
      </c>
    </row>
    <row r="47" spans="1:9" ht="31.5" customHeight="1" x14ac:dyDescent="0.2">
      <c r="A47" s="62"/>
      <c r="B47" s="83"/>
      <c r="C47" s="72" t="s">
        <v>159</v>
      </c>
      <c r="D47" s="26"/>
      <c r="E47" s="26"/>
      <c r="F47" s="38"/>
      <c r="G47" s="26"/>
      <c r="H47" s="26">
        <f t="shared" si="5"/>
        <v>0</v>
      </c>
      <c r="I47" s="48"/>
    </row>
    <row r="48" spans="1:9" s="13" customFormat="1" ht="31.5" customHeight="1" x14ac:dyDescent="0.2">
      <c r="A48" s="61"/>
      <c r="B48" s="84">
        <v>28</v>
      </c>
      <c r="C48" s="74" t="s">
        <v>160</v>
      </c>
      <c r="D48" s="27">
        <v>3277</v>
      </c>
      <c r="E48" s="27">
        <v>885</v>
      </c>
      <c r="F48" s="99">
        <f>-41</f>
        <v>-41</v>
      </c>
      <c r="G48" s="27">
        <f>-11</f>
        <v>-11</v>
      </c>
      <c r="H48" s="27">
        <f t="shared" ref="H48" si="6">SUM(D48:G48)</f>
        <v>4110</v>
      </c>
      <c r="I48" s="49" t="s">
        <v>26</v>
      </c>
    </row>
    <row r="49" spans="1:9" s="13" customFormat="1" ht="31.5" customHeight="1" x14ac:dyDescent="0.2">
      <c r="A49" s="63"/>
      <c r="B49" s="85"/>
      <c r="C49" s="72" t="s">
        <v>151</v>
      </c>
      <c r="D49" s="28"/>
      <c r="E49" s="28"/>
      <c r="F49" s="40"/>
      <c r="G49" s="28"/>
      <c r="H49" s="28"/>
      <c r="I49" s="50"/>
    </row>
    <row r="50" spans="1:9" s="13" customFormat="1" ht="31.5" customHeight="1" x14ac:dyDescent="0.2">
      <c r="A50" s="59"/>
      <c r="B50" s="25">
        <v>29</v>
      </c>
      <c r="C50" s="73" t="s">
        <v>44</v>
      </c>
      <c r="D50" s="26">
        <f>368-185</f>
        <v>183</v>
      </c>
      <c r="E50" s="26">
        <v>99</v>
      </c>
      <c r="F50" s="38"/>
      <c r="G50" s="26"/>
      <c r="H50" s="26">
        <f>SUM(D50:G50)</f>
        <v>282</v>
      </c>
      <c r="I50" s="48" t="s">
        <v>26</v>
      </c>
    </row>
    <row r="51" spans="1:9" s="13" customFormat="1" ht="31.5" customHeight="1" x14ac:dyDescent="0.2">
      <c r="A51" s="59"/>
      <c r="B51" s="25">
        <v>30</v>
      </c>
      <c r="C51" s="73" t="s">
        <v>172</v>
      </c>
      <c r="D51" s="26">
        <v>2551</v>
      </c>
      <c r="E51" s="26">
        <v>639</v>
      </c>
      <c r="F51" s="38"/>
      <c r="G51" s="26"/>
      <c r="H51" s="26">
        <f>SUM(D51:G51)</f>
        <v>3190</v>
      </c>
      <c r="I51" s="48" t="s">
        <v>26</v>
      </c>
    </row>
    <row r="52" spans="1:9" s="13" customFormat="1" ht="31.5" customHeight="1" x14ac:dyDescent="0.2">
      <c r="A52" s="61"/>
      <c r="B52" s="84">
        <v>31</v>
      </c>
      <c r="C52" s="74" t="s">
        <v>226</v>
      </c>
      <c r="D52" s="27"/>
      <c r="E52" s="27"/>
      <c r="F52" s="39">
        <v>332</v>
      </c>
      <c r="G52" s="27">
        <v>90</v>
      </c>
      <c r="H52" s="27">
        <f>SUM(D52:G52)</f>
        <v>422</v>
      </c>
      <c r="I52" s="49" t="s">
        <v>26</v>
      </c>
    </row>
    <row r="53" spans="1:9" s="13" customFormat="1" ht="31.5" customHeight="1" x14ac:dyDescent="0.2">
      <c r="A53" s="59"/>
      <c r="B53" s="25"/>
      <c r="C53" s="72" t="s">
        <v>53</v>
      </c>
      <c r="D53" s="26"/>
      <c r="E53" s="26"/>
      <c r="F53" s="38"/>
      <c r="G53" s="26"/>
      <c r="H53" s="26"/>
      <c r="I53" s="48"/>
    </row>
    <row r="54" spans="1:9" s="13" customFormat="1" ht="31.5" customHeight="1" x14ac:dyDescent="0.2">
      <c r="A54" s="59"/>
      <c r="B54" s="25">
        <v>32</v>
      </c>
      <c r="C54" s="73" t="s">
        <v>113</v>
      </c>
      <c r="D54" s="26">
        <v>763</v>
      </c>
      <c r="E54" s="26">
        <v>207</v>
      </c>
      <c r="F54" s="38">
        <f>-230</f>
        <v>-230</v>
      </c>
      <c r="G54" s="26">
        <f>-63</f>
        <v>-63</v>
      </c>
      <c r="H54" s="26">
        <f>SUM(D54:G54)</f>
        <v>677</v>
      </c>
      <c r="I54" s="48" t="s">
        <v>26</v>
      </c>
    </row>
    <row r="55" spans="1:9" s="13" customFormat="1" ht="31.5" customHeight="1" x14ac:dyDescent="0.2">
      <c r="A55" s="113"/>
      <c r="B55" s="114"/>
      <c r="C55" s="117" t="s">
        <v>198</v>
      </c>
      <c r="D55" s="115"/>
      <c r="E55" s="115"/>
      <c r="F55" s="116"/>
      <c r="G55" s="115"/>
      <c r="H55" s="115"/>
      <c r="I55" s="55"/>
    </row>
    <row r="56" spans="1:9" s="13" customFormat="1" ht="31.5" customHeight="1" x14ac:dyDescent="0.2">
      <c r="A56" s="59"/>
      <c r="B56" s="25">
        <v>33</v>
      </c>
      <c r="C56" s="73" t="s">
        <v>57</v>
      </c>
      <c r="D56" s="26">
        <v>1575</v>
      </c>
      <c r="E56" s="26">
        <v>425</v>
      </c>
      <c r="F56" s="38">
        <f>-528</f>
        <v>-528</v>
      </c>
      <c r="G56" s="26">
        <f>-142</f>
        <v>-142</v>
      </c>
      <c r="H56" s="26">
        <f>SUM(D56:G56)</f>
        <v>1330</v>
      </c>
      <c r="I56" s="48" t="s">
        <v>26</v>
      </c>
    </row>
    <row r="57" spans="1:9" s="13" customFormat="1" ht="31.5" customHeight="1" x14ac:dyDescent="0.2">
      <c r="A57" s="59"/>
      <c r="B57" s="25">
        <v>34</v>
      </c>
      <c r="C57" s="73" t="s">
        <v>242</v>
      </c>
      <c r="D57" s="26">
        <v>251</v>
      </c>
      <c r="E57" s="26">
        <v>67</v>
      </c>
      <c r="F57" s="38">
        <f>47</f>
        <v>47</v>
      </c>
      <c r="G57" s="26">
        <f>13</f>
        <v>13</v>
      </c>
      <c r="H57" s="26">
        <f>SUM(D57:G57)</f>
        <v>378</v>
      </c>
      <c r="I57" s="48" t="s">
        <v>26</v>
      </c>
    </row>
    <row r="58" spans="1:9" s="13" customFormat="1" ht="31.5" customHeight="1" x14ac:dyDescent="0.2">
      <c r="A58" s="113"/>
      <c r="B58" s="114"/>
      <c r="C58" s="123" t="s">
        <v>231</v>
      </c>
      <c r="D58" s="115"/>
      <c r="E58" s="115"/>
      <c r="F58" s="116"/>
      <c r="G58" s="115"/>
      <c r="H58" s="115"/>
      <c r="I58" s="55"/>
    </row>
    <row r="59" spans="1:9" s="13" customFormat="1" ht="31.5" customHeight="1" x14ac:dyDescent="0.2">
      <c r="A59" s="61"/>
      <c r="B59" s="84">
        <v>35</v>
      </c>
      <c r="C59" s="74" t="s">
        <v>228</v>
      </c>
      <c r="D59" s="27"/>
      <c r="E59" s="27"/>
      <c r="F59" s="39">
        <f>236</f>
        <v>236</v>
      </c>
      <c r="G59" s="27">
        <f>64</f>
        <v>64</v>
      </c>
      <c r="H59" s="27">
        <f>SUM(D59:G59)</f>
        <v>300</v>
      </c>
      <c r="I59" s="49" t="s">
        <v>26</v>
      </c>
    </row>
    <row r="60" spans="1:9" s="124" customFormat="1" ht="31.5" customHeight="1" thickBot="1" x14ac:dyDescent="0.25">
      <c r="A60" s="104"/>
      <c r="B60" s="92"/>
      <c r="C60" s="118" t="s">
        <v>232</v>
      </c>
      <c r="D60" s="34"/>
      <c r="E60" s="34"/>
      <c r="F60" s="5"/>
      <c r="G60" s="34"/>
      <c r="H60" s="34"/>
      <c r="I60" s="54"/>
    </row>
    <row r="61" spans="1:9" s="13" customFormat="1" ht="31.5" customHeight="1" x14ac:dyDescent="0.2">
      <c r="A61" s="59"/>
      <c r="B61" s="25">
        <v>36</v>
      </c>
      <c r="C61" s="73" t="s">
        <v>233</v>
      </c>
      <c r="D61" s="26"/>
      <c r="E61" s="26"/>
      <c r="F61" s="38">
        <f>327</f>
        <v>327</v>
      </c>
      <c r="G61" s="26">
        <f>88</f>
        <v>88</v>
      </c>
      <c r="H61" s="26">
        <f>SUM(D61:G61)</f>
        <v>415</v>
      </c>
      <c r="I61" s="48" t="s">
        <v>26</v>
      </c>
    </row>
    <row r="62" spans="1:9" s="13" customFormat="1" ht="31.5" customHeight="1" thickBot="1" x14ac:dyDescent="0.25">
      <c r="A62" s="59"/>
      <c r="B62" s="25">
        <v>37</v>
      </c>
      <c r="C62" s="73" t="s">
        <v>228</v>
      </c>
      <c r="D62" s="26"/>
      <c r="E62" s="26"/>
      <c r="F62" s="38">
        <f>236</f>
        <v>236</v>
      </c>
      <c r="G62" s="26">
        <f>64</f>
        <v>64</v>
      </c>
      <c r="H62" s="26">
        <f>SUM(D62:G62)</f>
        <v>300</v>
      </c>
      <c r="I62" s="48" t="s">
        <v>26</v>
      </c>
    </row>
    <row r="63" spans="1:9" s="18" customFormat="1" ht="31.5" customHeight="1" thickBot="1" x14ac:dyDescent="0.25">
      <c r="A63" s="64">
        <v>1101</v>
      </c>
      <c r="B63" s="86"/>
      <c r="C63" s="75" t="s">
        <v>234</v>
      </c>
      <c r="D63" s="29">
        <f t="shared" ref="D63:E63" si="7">SUM(D13:D62)</f>
        <v>112420</v>
      </c>
      <c r="E63" s="29">
        <f t="shared" si="7"/>
        <v>30355</v>
      </c>
      <c r="F63" s="29">
        <f>SUM(F13:F62)</f>
        <v>-18804</v>
      </c>
      <c r="G63" s="29">
        <f t="shared" ref="G63:H63" si="8">SUM(G13:G62)</f>
        <v>-5072</v>
      </c>
      <c r="H63" s="29">
        <f t="shared" si="8"/>
        <v>118899</v>
      </c>
      <c r="I63" s="51"/>
    </row>
    <row r="64" spans="1:9" s="13" customFormat="1" ht="31.5" customHeight="1" x14ac:dyDescent="0.2">
      <c r="A64" s="58" t="s">
        <v>90</v>
      </c>
      <c r="B64" s="83"/>
      <c r="C64" s="71" t="s">
        <v>7</v>
      </c>
      <c r="D64" s="26"/>
      <c r="E64" s="26"/>
      <c r="F64" s="38"/>
      <c r="G64" s="26"/>
      <c r="H64" s="26"/>
      <c r="I64" s="48"/>
    </row>
    <row r="65" spans="1:9" s="13" customFormat="1" ht="31.5" customHeight="1" x14ac:dyDescent="0.2">
      <c r="A65" s="59"/>
      <c r="B65" s="25">
        <v>1</v>
      </c>
      <c r="C65" s="73" t="s">
        <v>91</v>
      </c>
      <c r="D65" s="26">
        <v>121</v>
      </c>
      <c r="E65" s="26">
        <v>33</v>
      </c>
      <c r="F65" s="38"/>
      <c r="G65" s="26"/>
      <c r="H65" s="26">
        <f t="shared" ref="H65:H68" si="9">SUM(D65:G65)</f>
        <v>154</v>
      </c>
      <c r="I65" s="48" t="s">
        <v>26</v>
      </c>
    </row>
    <row r="66" spans="1:9" s="13" customFormat="1" ht="31.5" customHeight="1" x14ac:dyDescent="0.2">
      <c r="A66" s="59"/>
      <c r="B66" s="25">
        <v>2</v>
      </c>
      <c r="C66" s="73" t="s">
        <v>185</v>
      </c>
      <c r="D66" s="26">
        <v>759</v>
      </c>
      <c r="E66" s="26">
        <v>206</v>
      </c>
      <c r="F66" s="38"/>
      <c r="G66" s="26"/>
      <c r="H66" s="26">
        <f t="shared" si="9"/>
        <v>965</v>
      </c>
      <c r="I66" s="48" t="s">
        <v>26</v>
      </c>
    </row>
    <row r="67" spans="1:9" s="13" customFormat="1" ht="31.5" customHeight="1" x14ac:dyDescent="0.2">
      <c r="A67" s="59"/>
      <c r="B67" s="25">
        <v>3</v>
      </c>
      <c r="C67" s="73" t="s">
        <v>186</v>
      </c>
      <c r="D67" s="26">
        <v>6</v>
      </c>
      <c r="E67" s="26">
        <v>2</v>
      </c>
      <c r="F67" s="38"/>
      <c r="G67" s="26"/>
      <c r="H67" s="26">
        <f t="shared" si="9"/>
        <v>8</v>
      </c>
      <c r="I67" s="48" t="s">
        <v>26</v>
      </c>
    </row>
    <row r="68" spans="1:9" s="13" customFormat="1" ht="31.5" customHeight="1" thickBot="1" x14ac:dyDescent="0.25">
      <c r="A68" s="59"/>
      <c r="B68" s="25">
        <v>4</v>
      </c>
      <c r="C68" s="73" t="s">
        <v>115</v>
      </c>
      <c r="D68" s="26">
        <v>331</v>
      </c>
      <c r="E68" s="26">
        <v>89</v>
      </c>
      <c r="F68" s="38"/>
      <c r="G68" s="26"/>
      <c r="H68" s="26">
        <f t="shared" si="9"/>
        <v>420</v>
      </c>
      <c r="I68" s="48" t="s">
        <v>26</v>
      </c>
    </row>
    <row r="69" spans="1:9" s="18" customFormat="1" ht="31.5" customHeight="1" thickBot="1" x14ac:dyDescent="0.25">
      <c r="A69" s="64" t="s">
        <v>90</v>
      </c>
      <c r="B69" s="86"/>
      <c r="C69" s="75" t="s">
        <v>211</v>
      </c>
      <c r="D69" s="29">
        <f>SUM(D65:D68)</f>
        <v>1217</v>
      </c>
      <c r="E69" s="29">
        <f t="shared" ref="E69:H69" si="10">SUM(E65:E68)</f>
        <v>330</v>
      </c>
      <c r="F69" s="29">
        <f t="shared" si="10"/>
        <v>0</v>
      </c>
      <c r="G69" s="29">
        <f t="shared" si="10"/>
        <v>0</v>
      </c>
      <c r="H69" s="29">
        <f t="shared" si="10"/>
        <v>1547</v>
      </c>
      <c r="I69" s="51"/>
    </row>
    <row r="70" spans="1:9" s="18" customFormat="1" ht="31.5" customHeight="1" x14ac:dyDescent="0.2">
      <c r="A70" s="58" t="s">
        <v>188</v>
      </c>
      <c r="B70" s="82"/>
      <c r="C70" s="71" t="s">
        <v>8</v>
      </c>
      <c r="D70" s="30"/>
      <c r="E70" s="30"/>
      <c r="F70" s="42"/>
      <c r="G70" s="30"/>
      <c r="H70" s="30"/>
      <c r="I70" s="98"/>
    </row>
    <row r="71" spans="1:9" s="18" customFormat="1" ht="31.5" customHeight="1" x14ac:dyDescent="0.2">
      <c r="A71" s="62"/>
      <c r="B71" s="83">
        <v>1</v>
      </c>
      <c r="C71" s="73" t="s">
        <v>61</v>
      </c>
      <c r="D71" s="26">
        <v>1176</v>
      </c>
      <c r="E71" s="26">
        <v>318</v>
      </c>
      <c r="F71" s="38"/>
      <c r="G71" s="26"/>
      <c r="H71" s="26">
        <f>SUM(D71:G71)</f>
        <v>1494</v>
      </c>
      <c r="I71" s="48" t="s">
        <v>26</v>
      </c>
    </row>
    <row r="72" spans="1:9" s="18" customFormat="1" ht="31.5" customHeight="1" x14ac:dyDescent="0.2">
      <c r="A72" s="62"/>
      <c r="B72" s="83">
        <v>2</v>
      </c>
      <c r="C72" s="73" t="s">
        <v>204</v>
      </c>
      <c r="D72" s="26">
        <v>837</v>
      </c>
      <c r="E72" s="26">
        <v>226</v>
      </c>
      <c r="F72" s="38"/>
      <c r="G72" s="26"/>
      <c r="H72" s="26">
        <f t="shared" ref="H72:H74" si="11">SUM(D72:G72)</f>
        <v>1063</v>
      </c>
      <c r="I72" s="48" t="s">
        <v>26</v>
      </c>
    </row>
    <row r="73" spans="1:9" s="18" customFormat="1" ht="31.5" customHeight="1" x14ac:dyDescent="0.2">
      <c r="A73" s="62"/>
      <c r="B73" s="83">
        <v>3</v>
      </c>
      <c r="C73" s="73" t="s">
        <v>205</v>
      </c>
      <c r="D73" s="26">
        <v>135</v>
      </c>
      <c r="E73" s="26">
        <v>37</v>
      </c>
      <c r="F73" s="38"/>
      <c r="G73" s="26"/>
      <c r="H73" s="26">
        <f t="shared" si="11"/>
        <v>172</v>
      </c>
      <c r="I73" s="48" t="s">
        <v>26</v>
      </c>
    </row>
    <row r="74" spans="1:9" s="18" customFormat="1" ht="31.5" customHeight="1" thickBot="1" x14ac:dyDescent="0.25">
      <c r="A74" s="62"/>
      <c r="B74" s="83">
        <v>4</v>
      </c>
      <c r="C74" s="73" t="s">
        <v>206</v>
      </c>
      <c r="D74" s="26">
        <v>55</v>
      </c>
      <c r="E74" s="26">
        <v>15</v>
      </c>
      <c r="F74" s="38"/>
      <c r="G74" s="26"/>
      <c r="H74" s="26">
        <f t="shared" si="11"/>
        <v>70</v>
      </c>
      <c r="I74" s="48" t="s">
        <v>26</v>
      </c>
    </row>
    <row r="75" spans="1:9" s="18" customFormat="1" ht="31.5" customHeight="1" thickBot="1" x14ac:dyDescent="0.25">
      <c r="A75" s="64" t="s">
        <v>189</v>
      </c>
      <c r="B75" s="86"/>
      <c r="C75" s="75" t="s">
        <v>207</v>
      </c>
      <c r="D75" s="29">
        <f>SUM(D71:D74)</f>
        <v>2203</v>
      </c>
      <c r="E75" s="29">
        <f t="shared" ref="E75:H75" si="12">SUM(E71:E74)</f>
        <v>596</v>
      </c>
      <c r="F75" s="29">
        <f t="shared" si="12"/>
        <v>0</v>
      </c>
      <c r="G75" s="29">
        <f t="shared" si="12"/>
        <v>0</v>
      </c>
      <c r="H75" s="29">
        <f t="shared" si="12"/>
        <v>2799</v>
      </c>
      <c r="I75" s="51"/>
    </row>
    <row r="76" spans="1:9" s="13" customFormat="1" ht="31.5" customHeight="1" x14ac:dyDescent="0.2">
      <c r="A76" s="58" t="s">
        <v>131</v>
      </c>
      <c r="B76" s="83"/>
      <c r="C76" s="71" t="s">
        <v>132</v>
      </c>
      <c r="D76" s="26"/>
      <c r="E76" s="26"/>
      <c r="F76" s="38"/>
      <c r="G76" s="26"/>
      <c r="H76" s="26"/>
      <c r="I76" s="48"/>
    </row>
    <row r="77" spans="1:9" s="13" customFormat="1" ht="31.5" customHeight="1" x14ac:dyDescent="0.2">
      <c r="A77" s="59"/>
      <c r="B77" s="25">
        <v>1</v>
      </c>
      <c r="C77" s="73" t="s">
        <v>133</v>
      </c>
      <c r="D77" s="26">
        <v>23</v>
      </c>
      <c r="E77" s="26">
        <v>6</v>
      </c>
      <c r="F77" s="38"/>
      <c r="G77" s="26"/>
      <c r="H77" s="26">
        <f t="shared" ref="H77:H82" si="13">SUM(D77:G77)</f>
        <v>29</v>
      </c>
      <c r="I77" s="48" t="s">
        <v>26</v>
      </c>
    </row>
    <row r="78" spans="1:9" s="13" customFormat="1" ht="31.5" customHeight="1" x14ac:dyDescent="0.2">
      <c r="A78" s="59"/>
      <c r="B78" s="25">
        <v>2</v>
      </c>
      <c r="C78" s="73" t="s">
        <v>217</v>
      </c>
      <c r="D78" s="26"/>
      <c r="E78" s="26"/>
      <c r="F78" s="38">
        <v>550</v>
      </c>
      <c r="G78" s="26">
        <v>149</v>
      </c>
      <c r="H78" s="26">
        <f t="shared" si="13"/>
        <v>699</v>
      </c>
      <c r="I78" s="48" t="s">
        <v>26</v>
      </c>
    </row>
    <row r="79" spans="1:9" s="13" customFormat="1" ht="31.5" customHeight="1" x14ac:dyDescent="0.2">
      <c r="A79" s="59"/>
      <c r="B79" s="25">
        <v>3</v>
      </c>
      <c r="C79" s="73" t="s">
        <v>183</v>
      </c>
      <c r="D79" s="26"/>
      <c r="E79" s="26"/>
      <c r="F79" s="38">
        <v>558</v>
      </c>
      <c r="G79" s="26">
        <v>151</v>
      </c>
      <c r="H79" s="26">
        <f t="shared" si="13"/>
        <v>709</v>
      </c>
      <c r="I79" s="48" t="s">
        <v>26</v>
      </c>
    </row>
    <row r="80" spans="1:9" s="13" customFormat="1" ht="31.5" customHeight="1" x14ac:dyDescent="0.2">
      <c r="A80" s="59"/>
      <c r="B80" s="25">
        <v>4</v>
      </c>
      <c r="C80" s="73" t="s">
        <v>218</v>
      </c>
      <c r="D80" s="26"/>
      <c r="E80" s="26"/>
      <c r="F80" s="38">
        <v>376</v>
      </c>
      <c r="G80" s="26">
        <v>102</v>
      </c>
      <c r="H80" s="26">
        <f t="shared" si="13"/>
        <v>478</v>
      </c>
      <c r="I80" s="48" t="s">
        <v>26</v>
      </c>
    </row>
    <row r="81" spans="1:9" s="13" customFormat="1" ht="31.5" customHeight="1" x14ac:dyDescent="0.2">
      <c r="A81" s="59"/>
      <c r="B81" s="25">
        <v>5</v>
      </c>
      <c r="C81" s="73" t="s">
        <v>219</v>
      </c>
      <c r="D81" s="26"/>
      <c r="E81" s="26"/>
      <c r="F81" s="38">
        <v>135</v>
      </c>
      <c r="G81" s="26">
        <v>36</v>
      </c>
      <c r="H81" s="26">
        <f t="shared" si="13"/>
        <v>171</v>
      </c>
      <c r="I81" s="48" t="s">
        <v>26</v>
      </c>
    </row>
    <row r="82" spans="1:9" s="13" customFormat="1" ht="31.5" customHeight="1" thickBot="1" x14ac:dyDescent="0.25">
      <c r="A82" s="59"/>
      <c r="B82" s="25">
        <v>6</v>
      </c>
      <c r="C82" s="73" t="s">
        <v>220</v>
      </c>
      <c r="D82" s="26"/>
      <c r="E82" s="26"/>
      <c r="F82" s="38">
        <v>143</v>
      </c>
      <c r="G82" s="26">
        <v>38</v>
      </c>
      <c r="H82" s="26">
        <f t="shared" si="13"/>
        <v>181</v>
      </c>
      <c r="I82" s="48" t="s">
        <v>26</v>
      </c>
    </row>
    <row r="83" spans="1:9" s="18" customFormat="1" ht="31.5" customHeight="1" thickBot="1" x14ac:dyDescent="0.25">
      <c r="A83" s="64" t="s">
        <v>131</v>
      </c>
      <c r="B83" s="86"/>
      <c r="C83" s="75" t="s">
        <v>221</v>
      </c>
      <c r="D83" s="29">
        <f>SUM(D77:D82)</f>
        <v>23</v>
      </c>
      <c r="E83" s="29">
        <f t="shared" ref="E83:H83" si="14">SUM(E77:E82)</f>
        <v>6</v>
      </c>
      <c r="F83" s="29">
        <f t="shared" si="14"/>
        <v>1762</v>
      </c>
      <c r="G83" s="29">
        <f t="shared" si="14"/>
        <v>476</v>
      </c>
      <c r="H83" s="29">
        <f t="shared" si="14"/>
        <v>2267</v>
      </c>
      <c r="I83" s="51"/>
    </row>
    <row r="84" spans="1:9" s="18" customFormat="1" ht="31.5" customHeight="1" x14ac:dyDescent="0.2">
      <c r="A84" s="58" t="s">
        <v>214</v>
      </c>
      <c r="B84" s="82"/>
      <c r="C84" s="71" t="s">
        <v>9</v>
      </c>
      <c r="D84" s="30"/>
      <c r="E84" s="30"/>
      <c r="F84" s="42"/>
      <c r="G84" s="30"/>
      <c r="H84" s="30"/>
      <c r="I84" s="120"/>
    </row>
    <row r="85" spans="1:9" s="18" customFormat="1" ht="31.5" customHeight="1" x14ac:dyDescent="0.2">
      <c r="A85" s="62"/>
      <c r="B85" s="83">
        <v>1</v>
      </c>
      <c r="C85" s="73" t="s">
        <v>170</v>
      </c>
      <c r="D85" s="26">
        <v>1116</v>
      </c>
      <c r="E85" s="26">
        <v>302</v>
      </c>
      <c r="F85" s="38"/>
      <c r="G85" s="26"/>
      <c r="H85" s="26">
        <f>SUM(D85:G85)</f>
        <v>1418</v>
      </c>
      <c r="I85" s="48" t="s">
        <v>26</v>
      </c>
    </row>
    <row r="86" spans="1:9" s="18" customFormat="1" ht="31.5" customHeight="1" x14ac:dyDescent="0.2">
      <c r="A86" s="62"/>
      <c r="B86" s="83">
        <v>2</v>
      </c>
      <c r="C86" s="73" t="s">
        <v>225</v>
      </c>
      <c r="D86" s="26"/>
      <c r="E86" s="26"/>
      <c r="F86" s="38">
        <v>229</v>
      </c>
      <c r="G86" s="26">
        <v>62</v>
      </c>
      <c r="H86" s="26">
        <f>SUM(D86:G86)</f>
        <v>291</v>
      </c>
      <c r="I86" s="48" t="s">
        <v>26</v>
      </c>
    </row>
    <row r="87" spans="1:9" s="18" customFormat="1" ht="31.5" customHeight="1" thickBot="1" x14ac:dyDescent="0.25">
      <c r="A87" s="62"/>
      <c r="B87" s="83">
        <v>3</v>
      </c>
      <c r="C87" s="73" t="s">
        <v>62</v>
      </c>
      <c r="D87" s="26"/>
      <c r="E87" s="26"/>
      <c r="F87" s="38">
        <f>844</f>
        <v>844</v>
      </c>
      <c r="G87" s="26">
        <f>228</f>
        <v>228</v>
      </c>
      <c r="H87" s="26">
        <f>SUM(D87:G87)</f>
        <v>1072</v>
      </c>
      <c r="I87" s="48" t="s">
        <v>26</v>
      </c>
    </row>
    <row r="88" spans="1:9" s="18" customFormat="1" ht="31.5" customHeight="1" thickBot="1" x14ac:dyDescent="0.25">
      <c r="A88" s="64" t="s">
        <v>214</v>
      </c>
      <c r="B88" s="86"/>
      <c r="C88" s="75" t="s">
        <v>227</v>
      </c>
      <c r="D88" s="29">
        <f>SUM(D85:D86)</f>
        <v>1116</v>
      </c>
      <c r="E88" s="29">
        <f t="shared" ref="E88" si="15">SUM(E85:E86)</f>
        <v>302</v>
      </c>
      <c r="F88" s="29">
        <f>SUM(F85:F87)</f>
        <v>1073</v>
      </c>
      <c r="G88" s="29">
        <f>SUM(G85:G87)</f>
        <v>290</v>
      </c>
      <c r="H88" s="29">
        <f>SUM(H85:H87)</f>
        <v>2781</v>
      </c>
      <c r="I88" s="51"/>
    </row>
    <row r="89" spans="1:9" s="18" customFormat="1" ht="31.5" customHeight="1" x14ac:dyDescent="0.2">
      <c r="A89" s="58" t="s">
        <v>215</v>
      </c>
      <c r="B89" s="82"/>
      <c r="C89" s="71" t="s">
        <v>10</v>
      </c>
      <c r="D89" s="30"/>
      <c r="E89" s="30"/>
      <c r="F89" s="42"/>
      <c r="G89" s="30"/>
      <c r="H89" s="30"/>
      <c r="I89" s="120"/>
    </row>
    <row r="90" spans="1:9" s="13" customFormat="1" ht="31.5" customHeight="1" x14ac:dyDescent="0.2">
      <c r="A90" s="62"/>
      <c r="B90" s="83">
        <v>1</v>
      </c>
      <c r="C90" s="73" t="s">
        <v>216</v>
      </c>
      <c r="D90" s="26">
        <v>3</v>
      </c>
      <c r="E90" s="26">
        <v>1</v>
      </c>
      <c r="F90" s="38"/>
      <c r="G90" s="26"/>
      <c r="H90" s="26">
        <f>SUM(D90:G90)</f>
        <v>4</v>
      </c>
      <c r="I90" s="48" t="s">
        <v>26</v>
      </c>
    </row>
    <row r="91" spans="1:9" s="13" customFormat="1" ht="31.5" customHeight="1" x14ac:dyDescent="0.2">
      <c r="A91" s="62"/>
      <c r="B91" s="83">
        <v>2</v>
      </c>
      <c r="C91" s="73" t="s">
        <v>212</v>
      </c>
      <c r="D91" s="26">
        <v>1395</v>
      </c>
      <c r="E91" s="26">
        <v>377</v>
      </c>
      <c r="F91" s="38"/>
      <c r="G91" s="26"/>
      <c r="H91" s="26">
        <f>SUM(D91:G91)</f>
        <v>1772</v>
      </c>
      <c r="I91" s="48" t="s">
        <v>26</v>
      </c>
    </row>
    <row r="92" spans="1:9" s="13" customFormat="1" ht="31.5" customHeight="1" thickBot="1" x14ac:dyDescent="0.25">
      <c r="A92" s="62"/>
      <c r="B92" s="83">
        <v>3</v>
      </c>
      <c r="C92" s="73" t="s">
        <v>243</v>
      </c>
      <c r="D92" s="26"/>
      <c r="E92" s="26"/>
      <c r="F92" s="38">
        <v>40</v>
      </c>
      <c r="G92" s="26">
        <v>11</v>
      </c>
      <c r="H92" s="26">
        <f>SUM(D92:G92)</f>
        <v>51</v>
      </c>
      <c r="I92" s="48" t="s">
        <v>26</v>
      </c>
    </row>
    <row r="93" spans="1:9" s="18" customFormat="1" ht="31.5" customHeight="1" thickBot="1" x14ac:dyDescent="0.25">
      <c r="A93" s="64" t="s">
        <v>215</v>
      </c>
      <c r="B93" s="86"/>
      <c r="C93" s="75" t="s">
        <v>63</v>
      </c>
      <c r="D93" s="29">
        <f>SUM(D90:D92)</f>
        <v>1398</v>
      </c>
      <c r="E93" s="29">
        <f t="shared" ref="E93:H93" si="16">SUM(E90:E92)</f>
        <v>378</v>
      </c>
      <c r="F93" s="29">
        <f t="shared" si="16"/>
        <v>40</v>
      </c>
      <c r="G93" s="29">
        <f t="shared" si="16"/>
        <v>11</v>
      </c>
      <c r="H93" s="29">
        <f t="shared" si="16"/>
        <v>1827</v>
      </c>
      <c r="I93" s="51"/>
    </row>
    <row r="94" spans="1:9" s="13" customFormat="1" ht="31.5" customHeight="1" x14ac:dyDescent="0.2">
      <c r="A94" s="58" t="s">
        <v>92</v>
      </c>
      <c r="B94" s="83"/>
      <c r="C94" s="71" t="s">
        <v>16</v>
      </c>
      <c r="D94" s="26"/>
      <c r="E94" s="26"/>
      <c r="F94" s="38"/>
      <c r="G94" s="26"/>
      <c r="H94" s="26"/>
      <c r="I94" s="48"/>
    </row>
    <row r="95" spans="1:9" s="13" customFormat="1" ht="31.5" customHeight="1" x14ac:dyDescent="0.2">
      <c r="A95" s="59"/>
      <c r="B95" s="25">
        <v>1</v>
      </c>
      <c r="C95" s="73" t="s">
        <v>244</v>
      </c>
      <c r="D95" s="26">
        <v>498</v>
      </c>
      <c r="E95" s="26">
        <v>135</v>
      </c>
      <c r="F95" s="38"/>
      <c r="G95" s="26"/>
      <c r="H95" s="26">
        <f t="shared" ref="H95:H97" si="17">SUM(D95:G95)</f>
        <v>633</v>
      </c>
      <c r="I95" s="48" t="s">
        <v>26</v>
      </c>
    </row>
    <row r="96" spans="1:9" s="13" customFormat="1" ht="31.5" customHeight="1" x14ac:dyDescent="0.2">
      <c r="A96" s="59"/>
      <c r="B96" s="25">
        <v>2</v>
      </c>
      <c r="C96" s="73" t="s">
        <v>173</v>
      </c>
      <c r="D96" s="26">
        <v>84</v>
      </c>
      <c r="E96" s="26">
        <v>23</v>
      </c>
      <c r="F96" s="38"/>
      <c r="G96" s="26"/>
      <c r="H96" s="26">
        <f t="shared" si="17"/>
        <v>107</v>
      </c>
      <c r="I96" s="48" t="s">
        <v>26</v>
      </c>
    </row>
    <row r="97" spans="1:9" s="13" customFormat="1" ht="31.5" customHeight="1" x14ac:dyDescent="0.2">
      <c r="A97" s="59"/>
      <c r="B97" s="25">
        <v>3</v>
      </c>
      <c r="C97" s="73" t="s">
        <v>183</v>
      </c>
      <c r="D97" s="26">
        <v>480</v>
      </c>
      <c r="E97" s="26">
        <v>130</v>
      </c>
      <c r="F97" s="38"/>
      <c r="G97" s="26"/>
      <c r="H97" s="26">
        <f t="shared" si="17"/>
        <v>610</v>
      </c>
      <c r="I97" s="48" t="s">
        <v>26</v>
      </c>
    </row>
    <row r="98" spans="1:9" s="13" customFormat="1" ht="31.5" customHeight="1" x14ac:dyDescent="0.2">
      <c r="A98" s="59"/>
      <c r="B98" s="25">
        <v>4</v>
      </c>
      <c r="C98" s="73" t="s">
        <v>184</v>
      </c>
      <c r="D98" s="26">
        <v>170</v>
      </c>
      <c r="E98" s="26">
        <v>46</v>
      </c>
      <c r="F98" s="38"/>
      <c r="G98" s="26"/>
      <c r="H98" s="26">
        <f>SUM(D98:G98)</f>
        <v>216</v>
      </c>
      <c r="I98" s="48" t="s">
        <v>26</v>
      </c>
    </row>
    <row r="99" spans="1:9" s="13" customFormat="1" ht="31.5" customHeight="1" x14ac:dyDescent="0.2">
      <c r="A99" s="59"/>
      <c r="B99" s="25">
        <v>5</v>
      </c>
      <c r="C99" s="73" t="s">
        <v>194</v>
      </c>
      <c r="D99" s="26">
        <v>133</v>
      </c>
      <c r="E99" s="26">
        <v>36</v>
      </c>
      <c r="F99" s="38"/>
      <c r="G99" s="26"/>
      <c r="H99" s="26">
        <f>SUM(D99:G99)</f>
        <v>169</v>
      </c>
      <c r="I99" s="48" t="s">
        <v>26</v>
      </c>
    </row>
    <row r="100" spans="1:9" s="13" customFormat="1" ht="31.5" customHeight="1" thickBot="1" x14ac:dyDescent="0.25">
      <c r="A100" s="104"/>
      <c r="B100" s="92">
        <v>6</v>
      </c>
      <c r="C100" s="103" t="s">
        <v>195</v>
      </c>
      <c r="D100" s="34">
        <v>838</v>
      </c>
      <c r="E100" s="34">
        <v>226</v>
      </c>
      <c r="F100" s="5"/>
      <c r="G100" s="34"/>
      <c r="H100" s="34">
        <f>SUM(D100:G100)</f>
        <v>1064</v>
      </c>
      <c r="I100" s="54" t="s">
        <v>26</v>
      </c>
    </row>
    <row r="101" spans="1:9" s="18" customFormat="1" ht="31.5" customHeight="1" thickBot="1" x14ac:dyDescent="0.25">
      <c r="A101" s="64" t="s">
        <v>92</v>
      </c>
      <c r="B101" s="86"/>
      <c r="C101" s="75" t="s">
        <v>197</v>
      </c>
      <c r="D101" s="29">
        <f>SUM(D95:D100)</f>
        <v>2203</v>
      </c>
      <c r="E101" s="29">
        <f>SUM(E95:E100)</f>
        <v>596</v>
      </c>
      <c r="F101" s="29">
        <f>SUM(F95:F100)</f>
        <v>0</v>
      </c>
      <c r="G101" s="29">
        <f>SUM(G95:G100)</f>
        <v>0</v>
      </c>
      <c r="H101" s="29">
        <f>SUM(H95:H100)</f>
        <v>2799</v>
      </c>
      <c r="I101" s="51"/>
    </row>
    <row r="102" spans="1:9" s="13" customFormat="1" ht="31.5" customHeight="1" x14ac:dyDescent="0.2">
      <c r="A102" s="58" t="s">
        <v>127</v>
      </c>
      <c r="B102" s="83"/>
      <c r="C102" s="71" t="s">
        <v>128</v>
      </c>
      <c r="D102" s="26"/>
      <c r="E102" s="26"/>
      <c r="F102" s="38"/>
      <c r="G102" s="26"/>
      <c r="H102" s="26"/>
      <c r="I102" s="48"/>
    </row>
    <row r="103" spans="1:9" s="13" customFormat="1" ht="31.5" customHeight="1" x14ac:dyDescent="0.2">
      <c r="A103" s="59"/>
      <c r="B103" s="25">
        <v>1</v>
      </c>
      <c r="C103" s="73" t="s">
        <v>129</v>
      </c>
      <c r="D103" s="26">
        <v>9</v>
      </c>
      <c r="E103" s="26">
        <v>2</v>
      </c>
      <c r="F103" s="38"/>
      <c r="G103" s="26"/>
      <c r="H103" s="26">
        <f>SUM(D103:G103)</f>
        <v>11</v>
      </c>
      <c r="I103" s="48" t="s">
        <v>26</v>
      </c>
    </row>
    <row r="104" spans="1:9" s="13" customFormat="1" ht="31.5" customHeight="1" x14ac:dyDescent="0.2">
      <c r="A104" s="59"/>
      <c r="B104" s="25">
        <v>2</v>
      </c>
      <c r="C104" s="73" t="s">
        <v>147</v>
      </c>
      <c r="D104" s="26">
        <v>96</v>
      </c>
      <c r="E104" s="26">
        <v>27</v>
      </c>
      <c r="F104" s="38"/>
      <c r="G104" s="26"/>
      <c r="H104" s="26">
        <f t="shared" ref="H104:H105" si="18">SUM(D104:G104)</f>
        <v>123</v>
      </c>
      <c r="I104" s="48" t="s">
        <v>26</v>
      </c>
    </row>
    <row r="105" spans="1:9" s="13" customFormat="1" ht="31.5" customHeight="1" x14ac:dyDescent="0.2">
      <c r="A105" s="59"/>
      <c r="B105" s="25">
        <v>3</v>
      </c>
      <c r="C105" s="73" t="s">
        <v>155</v>
      </c>
      <c r="D105" s="26">
        <v>68</v>
      </c>
      <c r="E105" s="26">
        <v>18</v>
      </c>
      <c r="F105" s="38"/>
      <c r="G105" s="26"/>
      <c r="H105" s="26">
        <f t="shared" si="18"/>
        <v>86</v>
      </c>
      <c r="I105" s="48" t="s">
        <v>26</v>
      </c>
    </row>
    <row r="106" spans="1:9" s="13" customFormat="1" ht="31.5" customHeight="1" x14ac:dyDescent="0.2">
      <c r="A106" s="59"/>
      <c r="B106" s="25">
        <v>4</v>
      </c>
      <c r="C106" s="73" t="s">
        <v>156</v>
      </c>
      <c r="D106" s="26">
        <v>220</v>
      </c>
      <c r="E106" s="26">
        <v>60</v>
      </c>
      <c r="F106" s="38"/>
      <c r="G106" s="26"/>
      <c r="H106" s="26">
        <f t="shared" ref="H106:H110" si="19">SUM(D106:G106)</f>
        <v>280</v>
      </c>
      <c r="I106" s="48" t="s">
        <v>26</v>
      </c>
    </row>
    <row r="107" spans="1:9" s="13" customFormat="1" ht="31.5" customHeight="1" x14ac:dyDescent="0.2">
      <c r="A107" s="59"/>
      <c r="B107" s="25">
        <v>5</v>
      </c>
      <c r="C107" s="73" t="s">
        <v>115</v>
      </c>
      <c r="D107" s="26">
        <v>189</v>
      </c>
      <c r="E107" s="26">
        <v>51</v>
      </c>
      <c r="F107" s="38"/>
      <c r="G107" s="26"/>
      <c r="H107" s="26">
        <f t="shared" si="19"/>
        <v>240</v>
      </c>
      <c r="I107" s="48" t="s">
        <v>26</v>
      </c>
    </row>
    <row r="108" spans="1:9" s="13" customFormat="1" ht="31.5" customHeight="1" x14ac:dyDescent="0.2">
      <c r="A108" s="59"/>
      <c r="B108" s="25">
        <v>6</v>
      </c>
      <c r="C108" s="73" t="s">
        <v>174</v>
      </c>
      <c r="D108" s="26">
        <v>93</v>
      </c>
      <c r="E108" s="26">
        <v>25</v>
      </c>
      <c r="F108" s="38"/>
      <c r="G108" s="26"/>
      <c r="H108" s="26">
        <f t="shared" si="19"/>
        <v>118</v>
      </c>
      <c r="I108" s="48" t="s">
        <v>26</v>
      </c>
    </row>
    <row r="109" spans="1:9" s="13" customFormat="1" ht="31.5" customHeight="1" x14ac:dyDescent="0.2">
      <c r="A109" s="59"/>
      <c r="B109" s="25">
        <v>7</v>
      </c>
      <c r="C109" s="73" t="s">
        <v>199</v>
      </c>
      <c r="D109" s="26">
        <v>1365</v>
      </c>
      <c r="E109" s="26">
        <v>369</v>
      </c>
      <c r="F109" s="38"/>
      <c r="G109" s="26"/>
      <c r="H109" s="26">
        <f t="shared" si="19"/>
        <v>1734</v>
      </c>
      <c r="I109" s="48" t="s">
        <v>26</v>
      </c>
    </row>
    <row r="110" spans="1:9" s="13" customFormat="1" ht="31.5" customHeight="1" x14ac:dyDescent="0.2">
      <c r="A110" s="59"/>
      <c r="B110" s="25">
        <v>8</v>
      </c>
      <c r="C110" s="73" t="s">
        <v>200</v>
      </c>
      <c r="D110" s="26">
        <v>13</v>
      </c>
      <c r="E110" s="26">
        <v>3</v>
      </c>
      <c r="F110" s="38"/>
      <c r="G110" s="26"/>
      <c r="H110" s="26">
        <f t="shared" si="19"/>
        <v>16</v>
      </c>
      <c r="I110" s="48" t="s">
        <v>26</v>
      </c>
    </row>
    <row r="111" spans="1:9" s="13" customFormat="1" ht="31.5" customHeight="1" thickBot="1" x14ac:dyDescent="0.25">
      <c r="A111" s="59"/>
      <c r="B111" s="25">
        <v>9</v>
      </c>
      <c r="C111" s="73" t="s">
        <v>235</v>
      </c>
      <c r="D111" s="26"/>
      <c r="E111" s="26"/>
      <c r="F111" s="38">
        <f>28</f>
        <v>28</v>
      </c>
      <c r="G111" s="26">
        <f>7</f>
        <v>7</v>
      </c>
      <c r="H111" s="26">
        <f>SUM(D111:G111)</f>
        <v>35</v>
      </c>
      <c r="I111" s="48" t="s">
        <v>26</v>
      </c>
    </row>
    <row r="112" spans="1:9" s="18" customFormat="1" ht="31.5" customHeight="1" thickBot="1" x14ac:dyDescent="0.25">
      <c r="A112" s="64" t="s">
        <v>127</v>
      </c>
      <c r="B112" s="86"/>
      <c r="C112" s="75" t="s">
        <v>236</v>
      </c>
      <c r="D112" s="29">
        <f>SUM(D103:D111)</f>
        <v>2053</v>
      </c>
      <c r="E112" s="29">
        <f t="shared" ref="E112:H112" si="20">SUM(E103:E111)</f>
        <v>555</v>
      </c>
      <c r="F112" s="29">
        <f t="shared" si="20"/>
        <v>28</v>
      </c>
      <c r="G112" s="29">
        <f t="shared" si="20"/>
        <v>7</v>
      </c>
      <c r="H112" s="29">
        <f t="shared" si="20"/>
        <v>2643</v>
      </c>
      <c r="I112" s="51"/>
    </row>
    <row r="113" spans="1:9" s="18" customFormat="1" ht="31.5" customHeight="1" thickBot="1" x14ac:dyDescent="0.25">
      <c r="A113" s="64">
        <v>2101</v>
      </c>
      <c r="B113" s="86"/>
      <c r="C113" s="43" t="s">
        <v>130</v>
      </c>
      <c r="D113" s="29">
        <f>SUM(D69,D83,D101,D112,D75,D88,D93)</f>
        <v>10213</v>
      </c>
      <c r="E113" s="29">
        <f t="shared" ref="E113:H113" si="21">SUM(E69,E83,E101,E112,E75,E88,E93)</f>
        <v>2763</v>
      </c>
      <c r="F113" s="29">
        <f t="shared" si="21"/>
        <v>2903</v>
      </c>
      <c r="G113" s="29">
        <f t="shared" si="21"/>
        <v>784</v>
      </c>
      <c r="H113" s="29">
        <f t="shared" si="21"/>
        <v>16663</v>
      </c>
      <c r="I113" s="51"/>
    </row>
    <row r="114" spans="1:9" s="18" customFormat="1" ht="31.5" customHeight="1" thickBot="1" x14ac:dyDescent="0.25">
      <c r="A114" s="64">
        <v>3101</v>
      </c>
      <c r="B114" s="86"/>
      <c r="C114" s="75" t="s">
        <v>3</v>
      </c>
      <c r="D114" s="29"/>
      <c r="E114" s="29"/>
      <c r="F114" s="29"/>
      <c r="G114" s="29"/>
      <c r="H114" s="29"/>
      <c r="I114" s="51"/>
    </row>
    <row r="115" spans="1:9" s="13" customFormat="1" ht="31.5" customHeight="1" x14ac:dyDescent="0.2">
      <c r="A115" s="59"/>
      <c r="B115" s="25">
        <v>1</v>
      </c>
      <c r="C115" s="73" t="s">
        <v>157</v>
      </c>
      <c r="D115" s="26">
        <v>19</v>
      </c>
      <c r="E115" s="26">
        <v>5</v>
      </c>
      <c r="F115" s="38"/>
      <c r="G115" s="26"/>
      <c r="H115" s="26">
        <f>SUM(D115:G115)</f>
        <v>24</v>
      </c>
      <c r="I115" s="48" t="s">
        <v>26</v>
      </c>
    </row>
    <row r="116" spans="1:9" s="13" customFormat="1" ht="31.5" customHeight="1" x14ac:dyDescent="0.2">
      <c r="A116" s="59"/>
      <c r="B116" s="25">
        <v>2</v>
      </c>
      <c r="C116" s="73" t="s">
        <v>169</v>
      </c>
      <c r="D116" s="26">
        <v>900</v>
      </c>
      <c r="E116" s="26">
        <v>243</v>
      </c>
      <c r="F116" s="38"/>
      <c r="G116" s="26"/>
      <c r="H116" s="26">
        <f>SUM(D116:G116)</f>
        <v>1143</v>
      </c>
      <c r="I116" s="48" t="s">
        <v>26</v>
      </c>
    </row>
    <row r="117" spans="1:9" s="13" customFormat="1" ht="31.5" customHeight="1" x14ac:dyDescent="0.2">
      <c r="A117" s="59"/>
      <c r="B117" s="25">
        <v>3</v>
      </c>
      <c r="C117" s="73" t="s">
        <v>170</v>
      </c>
      <c r="D117" s="26">
        <v>1280</v>
      </c>
      <c r="E117" s="26">
        <v>345</v>
      </c>
      <c r="F117" s="38"/>
      <c r="G117" s="26"/>
      <c r="H117" s="26">
        <f>SUM(D117:G117)</f>
        <v>1625</v>
      </c>
      <c r="I117" s="48" t="s">
        <v>26</v>
      </c>
    </row>
    <row r="118" spans="1:9" s="13" customFormat="1" ht="31.5" customHeight="1" x14ac:dyDescent="0.2">
      <c r="A118" s="59"/>
      <c r="B118" s="25">
        <v>4</v>
      </c>
      <c r="C118" s="73" t="s">
        <v>201</v>
      </c>
      <c r="D118" s="26">
        <v>612</v>
      </c>
      <c r="E118" s="26">
        <v>166</v>
      </c>
      <c r="F118" s="38"/>
      <c r="G118" s="26"/>
      <c r="H118" s="26">
        <f>SUM(D118:G118)</f>
        <v>778</v>
      </c>
      <c r="I118" s="48" t="s">
        <v>26</v>
      </c>
    </row>
    <row r="119" spans="1:9" s="13" customFormat="1" ht="31.5" customHeight="1" thickBot="1" x14ac:dyDescent="0.25">
      <c r="A119" s="59"/>
      <c r="B119" s="25">
        <v>5</v>
      </c>
      <c r="C119" s="73" t="s">
        <v>209</v>
      </c>
      <c r="D119" s="26">
        <v>62</v>
      </c>
      <c r="E119" s="26">
        <v>17</v>
      </c>
      <c r="F119" s="38"/>
      <c r="G119" s="26"/>
      <c r="H119" s="26">
        <f>SUM(D119:G119)</f>
        <v>79</v>
      </c>
      <c r="I119" s="48" t="s">
        <v>26</v>
      </c>
    </row>
    <row r="120" spans="1:9" s="18" customFormat="1" ht="31.5" customHeight="1" thickBot="1" x14ac:dyDescent="0.25">
      <c r="A120" s="64">
        <v>3101</v>
      </c>
      <c r="B120" s="86"/>
      <c r="C120" s="43" t="s">
        <v>208</v>
      </c>
      <c r="D120" s="29">
        <f>SUM(D115:D119)</f>
        <v>2873</v>
      </c>
      <c r="E120" s="29">
        <f t="shared" ref="E120:H120" si="22">SUM(E115:E119)</f>
        <v>776</v>
      </c>
      <c r="F120" s="29">
        <f t="shared" si="22"/>
        <v>0</v>
      </c>
      <c r="G120" s="29">
        <f t="shared" si="22"/>
        <v>0</v>
      </c>
      <c r="H120" s="29">
        <f t="shared" si="22"/>
        <v>3649</v>
      </c>
      <c r="I120" s="51"/>
    </row>
    <row r="121" spans="1:9" s="18" customFormat="1" ht="31.5" customHeight="1" thickBot="1" x14ac:dyDescent="0.25">
      <c r="A121" s="64"/>
      <c r="B121" s="86"/>
      <c r="C121" s="75" t="s">
        <v>158</v>
      </c>
      <c r="D121" s="29">
        <f>SUM(D63,D120,D113)</f>
        <v>125506</v>
      </c>
      <c r="E121" s="29">
        <f>SUM(E63,E120,E113)</f>
        <v>33894</v>
      </c>
      <c r="F121" s="29">
        <f>SUM(F63,F120,F113)</f>
        <v>-15901</v>
      </c>
      <c r="G121" s="29">
        <f>SUM(G63,G120,G113)</f>
        <v>-4288</v>
      </c>
      <c r="H121" s="29">
        <f>SUM(H63,H120,H113)</f>
        <v>139211</v>
      </c>
      <c r="I121" s="51"/>
    </row>
    <row r="122" spans="1:9" ht="31.5" customHeight="1" x14ac:dyDescent="0.2">
      <c r="A122" s="58">
        <v>5101</v>
      </c>
      <c r="B122" s="87"/>
      <c r="C122" s="71" t="s">
        <v>20</v>
      </c>
      <c r="D122" s="30"/>
      <c r="E122" s="30"/>
      <c r="F122" s="42"/>
      <c r="G122" s="30"/>
      <c r="H122" s="30"/>
      <c r="I122" s="48"/>
    </row>
    <row r="123" spans="1:9" s="13" customFormat="1" ht="31.5" customHeight="1" x14ac:dyDescent="0.2">
      <c r="A123" s="59"/>
      <c r="B123" s="25">
        <v>1</v>
      </c>
      <c r="C123" s="73" t="s">
        <v>70</v>
      </c>
      <c r="D123" s="26">
        <f>20472+4100</f>
        <v>24572</v>
      </c>
      <c r="E123" s="26">
        <f>5528+1107</f>
        <v>6635</v>
      </c>
      <c r="F123" s="38">
        <f>4100+8303</f>
        <v>12403</v>
      </c>
      <c r="G123" s="26">
        <f>1107+2242</f>
        <v>3349</v>
      </c>
      <c r="H123" s="26">
        <f>SUM(D123:G123)</f>
        <v>46959</v>
      </c>
      <c r="I123" s="48" t="s">
        <v>26</v>
      </c>
    </row>
    <row r="124" spans="1:9" s="13" customFormat="1" ht="31.5" customHeight="1" x14ac:dyDescent="0.2">
      <c r="A124" s="59"/>
      <c r="B124" s="25">
        <v>2</v>
      </c>
      <c r="C124" s="73" t="s">
        <v>21</v>
      </c>
      <c r="D124" s="26">
        <f>4724+5500</f>
        <v>10224</v>
      </c>
      <c r="E124" s="26">
        <f>1276+1485</f>
        <v>2761</v>
      </c>
      <c r="F124" s="38"/>
      <c r="G124" s="26"/>
      <c r="H124" s="26">
        <f t="shared" ref="H124:H139" si="23">SUM(D124:G124)</f>
        <v>12985</v>
      </c>
      <c r="I124" s="48" t="s">
        <v>26</v>
      </c>
    </row>
    <row r="125" spans="1:9" s="13" customFormat="1" ht="31.5" customHeight="1" x14ac:dyDescent="0.2">
      <c r="A125" s="59"/>
      <c r="B125" s="25">
        <v>3</v>
      </c>
      <c r="C125" s="73" t="s">
        <v>14</v>
      </c>
      <c r="D125" s="26">
        <v>11024</v>
      </c>
      <c r="E125" s="26">
        <v>2976</v>
      </c>
      <c r="F125" s="38">
        <f>-11024</f>
        <v>-11024</v>
      </c>
      <c r="G125" s="26">
        <f>-2976</f>
        <v>-2976</v>
      </c>
      <c r="H125" s="26">
        <f t="shared" si="23"/>
        <v>0</v>
      </c>
      <c r="I125" s="48" t="s">
        <v>26</v>
      </c>
    </row>
    <row r="126" spans="1:9" s="13" customFormat="1" ht="31.5" customHeight="1" x14ac:dyDescent="0.2">
      <c r="A126" s="59"/>
      <c r="B126" s="25">
        <v>4</v>
      </c>
      <c r="C126" s="73" t="s">
        <v>13</v>
      </c>
      <c r="D126" s="26">
        <f>35433-5500</f>
        <v>29933</v>
      </c>
      <c r="E126" s="26">
        <f>9567-1485</f>
        <v>8082</v>
      </c>
      <c r="F126" s="38">
        <f>-4100-8303</f>
        <v>-12403</v>
      </c>
      <c r="G126" s="26">
        <f>-1107-2242</f>
        <v>-3349</v>
      </c>
      <c r="H126" s="26">
        <f t="shared" si="23"/>
        <v>22263</v>
      </c>
      <c r="I126" s="48" t="s">
        <v>26</v>
      </c>
    </row>
    <row r="127" spans="1:9" s="12" customFormat="1" ht="31.5" customHeight="1" x14ac:dyDescent="0.2">
      <c r="A127" s="60"/>
      <c r="B127" s="83">
        <v>5</v>
      </c>
      <c r="C127" s="73" t="s">
        <v>84</v>
      </c>
      <c r="D127" s="26">
        <f>13000+3000</f>
        <v>16000</v>
      </c>
      <c r="E127" s="26">
        <f>3510+810</f>
        <v>4320</v>
      </c>
      <c r="F127" s="38">
        <f>-6000</f>
        <v>-6000</v>
      </c>
      <c r="G127" s="26">
        <f>-1620</f>
        <v>-1620</v>
      </c>
      <c r="H127" s="26">
        <f t="shared" si="23"/>
        <v>12700</v>
      </c>
      <c r="I127" s="48" t="s">
        <v>26</v>
      </c>
    </row>
    <row r="128" spans="1:9" s="13" customFormat="1" ht="31.5" customHeight="1" x14ac:dyDescent="0.2">
      <c r="A128" s="60"/>
      <c r="B128" s="83">
        <v>6</v>
      </c>
      <c r="C128" s="73" t="s">
        <v>98</v>
      </c>
      <c r="D128" s="26">
        <f>7000+186</f>
        <v>7186</v>
      </c>
      <c r="E128" s="26">
        <f>1890+50</f>
        <v>1940</v>
      </c>
      <c r="F128" s="38"/>
      <c r="G128" s="26"/>
      <c r="H128" s="26">
        <f t="shared" si="23"/>
        <v>9126</v>
      </c>
      <c r="I128" s="48" t="s">
        <v>26</v>
      </c>
    </row>
    <row r="129" spans="1:9" s="13" customFormat="1" ht="31.5" customHeight="1" x14ac:dyDescent="0.2">
      <c r="A129" s="60"/>
      <c r="B129" s="83">
        <v>7</v>
      </c>
      <c r="C129" s="73" t="s">
        <v>245</v>
      </c>
      <c r="D129" s="26">
        <v>472</v>
      </c>
      <c r="E129" s="26">
        <v>128</v>
      </c>
      <c r="F129" s="38"/>
      <c r="G129" s="26"/>
      <c r="H129" s="26">
        <f t="shared" ref="H129" si="24">SUM(D129:G129)</f>
        <v>600</v>
      </c>
      <c r="I129" s="48" t="s">
        <v>26</v>
      </c>
    </row>
    <row r="130" spans="1:9" ht="31.5" customHeight="1" x14ac:dyDescent="0.2">
      <c r="A130" s="62"/>
      <c r="B130" s="83">
        <v>8</v>
      </c>
      <c r="C130" s="73" t="s">
        <v>97</v>
      </c>
      <c r="D130" s="26">
        <v>1000</v>
      </c>
      <c r="E130" s="26">
        <v>270</v>
      </c>
      <c r="F130" s="38"/>
      <c r="G130" s="26"/>
      <c r="H130" s="26">
        <f t="shared" si="23"/>
        <v>1270</v>
      </c>
      <c r="I130" s="48" t="s">
        <v>26</v>
      </c>
    </row>
    <row r="131" spans="1:9" s="12" customFormat="1" ht="31.5" customHeight="1" x14ac:dyDescent="0.2">
      <c r="A131" s="60"/>
      <c r="B131" s="83">
        <v>9</v>
      </c>
      <c r="C131" s="73" t="s">
        <v>22</v>
      </c>
      <c r="D131" s="26">
        <v>10000</v>
      </c>
      <c r="E131" s="26">
        <v>2700</v>
      </c>
      <c r="F131" s="38"/>
      <c r="G131" s="26"/>
      <c r="H131" s="26">
        <f t="shared" si="23"/>
        <v>12700</v>
      </c>
      <c r="I131" s="48" t="s">
        <v>26</v>
      </c>
    </row>
    <row r="132" spans="1:9" s="13" customFormat="1" ht="31.5" customHeight="1" x14ac:dyDescent="0.2">
      <c r="A132" s="60"/>
      <c r="B132" s="83">
        <v>10</v>
      </c>
      <c r="C132" s="73" t="s">
        <v>15</v>
      </c>
      <c r="D132" s="26">
        <v>3500</v>
      </c>
      <c r="E132" s="26">
        <v>945</v>
      </c>
      <c r="F132" s="38"/>
      <c r="G132" s="26"/>
      <c r="H132" s="26">
        <f t="shared" si="23"/>
        <v>4445</v>
      </c>
      <c r="I132" s="48" t="s">
        <v>26</v>
      </c>
    </row>
    <row r="133" spans="1:9" ht="31.5" customHeight="1" x14ac:dyDescent="0.2">
      <c r="A133" s="62"/>
      <c r="B133" s="83">
        <v>11</v>
      </c>
      <c r="C133" s="73" t="s">
        <v>71</v>
      </c>
      <c r="D133" s="26">
        <v>12000</v>
      </c>
      <c r="E133" s="26">
        <v>3240</v>
      </c>
      <c r="F133" s="38"/>
      <c r="G133" s="26"/>
      <c r="H133" s="26">
        <f t="shared" si="23"/>
        <v>15240</v>
      </c>
      <c r="I133" s="48" t="s">
        <v>26</v>
      </c>
    </row>
    <row r="134" spans="1:9" ht="31.5" customHeight="1" x14ac:dyDescent="0.2">
      <c r="A134" s="62"/>
      <c r="B134" s="83">
        <v>12</v>
      </c>
      <c r="C134" s="73" t="s">
        <v>161</v>
      </c>
      <c r="D134" s="26">
        <f>4500-186</f>
        <v>4314</v>
      </c>
      <c r="E134" s="26">
        <f>1215-50</f>
        <v>1165</v>
      </c>
      <c r="F134" s="38"/>
      <c r="G134" s="26"/>
      <c r="H134" s="26">
        <f t="shared" si="23"/>
        <v>5479</v>
      </c>
      <c r="I134" s="48" t="s">
        <v>26</v>
      </c>
    </row>
    <row r="135" spans="1:9" s="14" customFormat="1" ht="31.5" customHeight="1" x14ac:dyDescent="0.2">
      <c r="A135" s="60"/>
      <c r="B135" s="83">
        <v>13</v>
      </c>
      <c r="C135" s="73" t="s">
        <v>177</v>
      </c>
      <c r="D135" s="26">
        <v>1409</v>
      </c>
      <c r="E135" s="26">
        <v>381</v>
      </c>
      <c r="F135" s="38"/>
      <c r="G135" s="26"/>
      <c r="H135" s="26">
        <f t="shared" ref="H135" si="25">SUM(D135:G135)</f>
        <v>1790</v>
      </c>
      <c r="I135" s="48" t="s">
        <v>33</v>
      </c>
    </row>
    <row r="136" spans="1:9" s="14" customFormat="1" ht="31.5" customHeight="1" x14ac:dyDescent="0.2">
      <c r="A136" s="60"/>
      <c r="B136" s="83">
        <v>14</v>
      </c>
      <c r="C136" s="73" t="s">
        <v>149</v>
      </c>
      <c r="D136" s="26">
        <v>11811</v>
      </c>
      <c r="E136" s="26">
        <v>3189</v>
      </c>
      <c r="F136" s="38"/>
      <c r="G136" s="26"/>
      <c r="H136" s="26">
        <f t="shared" ref="H136" si="26">SUM(D136:G136)</f>
        <v>15000</v>
      </c>
      <c r="I136" s="48" t="s">
        <v>33</v>
      </c>
    </row>
    <row r="137" spans="1:9" s="14" customFormat="1" ht="31.5" customHeight="1" x14ac:dyDescent="0.2">
      <c r="A137" s="60"/>
      <c r="B137" s="83">
        <v>15</v>
      </c>
      <c r="C137" s="73" t="s">
        <v>176</v>
      </c>
      <c r="D137" s="26">
        <v>4732</v>
      </c>
      <c r="E137" s="26">
        <v>1278</v>
      </c>
      <c r="F137" s="38"/>
      <c r="G137" s="26"/>
      <c r="H137" s="26">
        <f t="shared" si="23"/>
        <v>6010</v>
      </c>
      <c r="I137" s="48" t="s">
        <v>33</v>
      </c>
    </row>
    <row r="138" spans="1:9" s="13" customFormat="1" ht="31.5" customHeight="1" x14ac:dyDescent="0.2">
      <c r="A138" s="60"/>
      <c r="B138" s="83">
        <v>16</v>
      </c>
      <c r="C138" s="73" t="s">
        <v>182</v>
      </c>
      <c r="D138" s="26">
        <v>1670</v>
      </c>
      <c r="E138" s="26">
        <v>451</v>
      </c>
      <c r="F138" s="38"/>
      <c r="G138" s="26"/>
      <c r="H138" s="26">
        <f t="shared" si="23"/>
        <v>2121</v>
      </c>
      <c r="I138" s="48" t="s">
        <v>33</v>
      </c>
    </row>
    <row r="139" spans="1:9" s="13" customFormat="1" ht="31.5" customHeight="1" thickBot="1" x14ac:dyDescent="0.25">
      <c r="A139" s="60"/>
      <c r="B139" s="83">
        <v>17</v>
      </c>
      <c r="C139" s="73" t="s">
        <v>202</v>
      </c>
      <c r="D139" s="26">
        <v>6000</v>
      </c>
      <c r="E139" s="26">
        <v>1620</v>
      </c>
      <c r="F139" s="38"/>
      <c r="G139" s="26"/>
      <c r="H139" s="26">
        <f t="shared" si="23"/>
        <v>7620</v>
      </c>
      <c r="I139" s="48" t="s">
        <v>33</v>
      </c>
    </row>
    <row r="140" spans="1:9" ht="31.5" customHeight="1" thickBot="1" x14ac:dyDescent="0.25">
      <c r="A140" s="64">
        <v>5101</v>
      </c>
      <c r="B140" s="86"/>
      <c r="C140" s="43" t="s">
        <v>246</v>
      </c>
      <c r="D140" s="31">
        <f>SUM(D123:D139)</f>
        <v>155847</v>
      </c>
      <c r="E140" s="31">
        <f>SUM(E123:E139)</f>
        <v>42081</v>
      </c>
      <c r="F140" s="31">
        <f>SUM(F123:F139)</f>
        <v>-17024</v>
      </c>
      <c r="G140" s="31">
        <f>SUM(G123:G139)</f>
        <v>-4596</v>
      </c>
      <c r="H140" s="31">
        <f>SUM(H123:H139)</f>
        <v>176308</v>
      </c>
      <c r="I140" s="51"/>
    </row>
    <row r="141" spans="1:9" ht="31.5" customHeight="1" x14ac:dyDescent="0.2">
      <c r="A141" s="58">
        <v>5114</v>
      </c>
      <c r="B141" s="82"/>
      <c r="C141" s="96" t="s">
        <v>178</v>
      </c>
      <c r="D141" s="32"/>
      <c r="E141" s="32"/>
      <c r="F141" s="44"/>
      <c r="G141" s="32"/>
      <c r="H141" s="32"/>
      <c r="I141" s="95"/>
    </row>
    <row r="142" spans="1:9" ht="31.5" customHeight="1" thickBot="1" x14ac:dyDescent="0.25">
      <c r="A142" s="62"/>
      <c r="B142" s="83">
        <v>1</v>
      </c>
      <c r="C142" s="1" t="s">
        <v>180</v>
      </c>
      <c r="D142" s="6">
        <v>769</v>
      </c>
      <c r="E142" s="6">
        <v>208</v>
      </c>
      <c r="G142" s="6"/>
      <c r="H142" s="6">
        <f>SUM(D142:G142)</f>
        <v>977</v>
      </c>
      <c r="I142" s="48" t="s">
        <v>33</v>
      </c>
    </row>
    <row r="143" spans="1:9" ht="31.5" customHeight="1" thickBot="1" x14ac:dyDescent="0.25">
      <c r="A143" s="64">
        <v>5114</v>
      </c>
      <c r="B143" s="86"/>
      <c r="C143" s="97" t="s">
        <v>179</v>
      </c>
      <c r="D143" s="31">
        <f>SUM(D142)</f>
        <v>769</v>
      </c>
      <c r="E143" s="31">
        <f t="shared" ref="E143:H143" si="27">SUM(E142)</f>
        <v>208</v>
      </c>
      <c r="F143" s="31">
        <f t="shared" si="27"/>
        <v>0</v>
      </c>
      <c r="G143" s="31">
        <f t="shared" si="27"/>
        <v>0</v>
      </c>
      <c r="H143" s="31">
        <f t="shared" si="27"/>
        <v>977</v>
      </c>
      <c r="I143" s="51"/>
    </row>
    <row r="144" spans="1:9" ht="31.5" customHeight="1" thickBot="1" x14ac:dyDescent="0.25">
      <c r="A144" s="64"/>
      <c r="B144" s="86"/>
      <c r="C144" s="97" t="s">
        <v>181</v>
      </c>
      <c r="D144" s="31">
        <f>SUM(D140,D143)</f>
        <v>156616</v>
      </c>
      <c r="E144" s="31">
        <f t="shared" ref="E144:H144" si="28">SUM(E140,E143)</f>
        <v>42289</v>
      </c>
      <c r="F144" s="31">
        <f t="shared" si="28"/>
        <v>-17024</v>
      </c>
      <c r="G144" s="31">
        <f t="shared" si="28"/>
        <v>-4596</v>
      </c>
      <c r="H144" s="31">
        <f t="shared" si="28"/>
        <v>177285</v>
      </c>
      <c r="I144" s="51"/>
    </row>
    <row r="145" spans="1:9" ht="31.5" customHeight="1" x14ac:dyDescent="0.2">
      <c r="A145" s="58">
        <v>6401</v>
      </c>
      <c r="B145" s="25"/>
      <c r="C145" s="71" t="s">
        <v>32</v>
      </c>
      <c r="D145" s="25"/>
      <c r="E145" s="25"/>
      <c r="F145" s="19"/>
      <c r="G145" s="25"/>
      <c r="H145" s="25"/>
      <c r="I145" s="48"/>
    </row>
    <row r="146" spans="1:9" ht="31.5" customHeight="1" x14ac:dyDescent="0.2">
      <c r="A146" s="62"/>
      <c r="B146" s="87"/>
      <c r="C146" s="71" t="s">
        <v>19</v>
      </c>
      <c r="D146" s="32"/>
      <c r="E146" s="32"/>
      <c r="F146" s="44"/>
      <c r="G146" s="32"/>
      <c r="H146" s="32"/>
      <c r="I146" s="52"/>
    </row>
    <row r="147" spans="1:9" ht="31.5" customHeight="1" thickBot="1" x14ac:dyDescent="0.25">
      <c r="A147" s="66"/>
      <c r="B147" s="102"/>
      <c r="C147" s="118" t="s">
        <v>41</v>
      </c>
      <c r="D147" s="34"/>
      <c r="E147" s="34"/>
      <c r="F147" s="5"/>
      <c r="G147" s="34"/>
      <c r="H147" s="34"/>
      <c r="I147" s="54"/>
    </row>
    <row r="148" spans="1:9" ht="31.5" customHeight="1" x14ac:dyDescent="0.2">
      <c r="A148" s="62"/>
      <c r="B148" s="83">
        <v>1</v>
      </c>
      <c r="C148" s="73" t="s">
        <v>43</v>
      </c>
      <c r="D148" s="26">
        <v>0</v>
      </c>
      <c r="E148" s="26">
        <v>0</v>
      </c>
      <c r="F148" s="38"/>
      <c r="G148" s="26"/>
      <c r="H148" s="26">
        <f t="shared" ref="H148:H149" si="29">SUM(D148:G148)</f>
        <v>0</v>
      </c>
      <c r="I148" s="48" t="s">
        <v>26</v>
      </c>
    </row>
    <row r="149" spans="1:9" ht="31.5" customHeight="1" x14ac:dyDescent="0.2">
      <c r="A149" s="62"/>
      <c r="B149" s="83">
        <v>2</v>
      </c>
      <c r="C149" s="73" t="s">
        <v>44</v>
      </c>
      <c r="D149" s="26">
        <v>0</v>
      </c>
      <c r="E149" s="26">
        <v>0</v>
      </c>
      <c r="F149" s="38"/>
      <c r="G149" s="26"/>
      <c r="H149" s="26">
        <f t="shared" si="29"/>
        <v>0</v>
      </c>
      <c r="I149" s="48" t="s">
        <v>26</v>
      </c>
    </row>
    <row r="150" spans="1:9" ht="31.5" customHeight="1" x14ac:dyDescent="0.2">
      <c r="A150" s="65"/>
      <c r="B150" s="88" t="s">
        <v>27</v>
      </c>
      <c r="C150" s="76" t="s">
        <v>45</v>
      </c>
      <c r="D150" s="33">
        <f>SUM(D148:D149)</f>
        <v>0</v>
      </c>
      <c r="E150" s="33">
        <f>SUM(E148:E149)</f>
        <v>0</v>
      </c>
      <c r="F150" s="45">
        <f>SUM(F148:F149)</f>
        <v>0</v>
      </c>
      <c r="G150" s="33">
        <f>SUM(G148:G149)</f>
        <v>0</v>
      </c>
      <c r="H150" s="33">
        <f>SUM(H148:H149)</f>
        <v>0</v>
      </c>
      <c r="I150" s="53"/>
    </row>
    <row r="151" spans="1:9" ht="31.5" customHeight="1" x14ac:dyDescent="0.2">
      <c r="A151" s="62"/>
      <c r="B151" s="83"/>
      <c r="C151" s="72" t="s">
        <v>37</v>
      </c>
      <c r="D151" s="26"/>
      <c r="E151" s="26"/>
      <c r="F151" s="38"/>
      <c r="G151" s="26"/>
      <c r="H151" s="26"/>
      <c r="I151" s="48"/>
    </row>
    <row r="152" spans="1:9" ht="31.5" customHeight="1" x14ac:dyDescent="0.2">
      <c r="A152" s="62"/>
      <c r="B152" s="83">
        <v>1</v>
      </c>
      <c r="C152" s="73" t="s">
        <v>105</v>
      </c>
      <c r="D152" s="26">
        <v>0</v>
      </c>
      <c r="E152" s="26">
        <v>0</v>
      </c>
      <c r="F152" s="38"/>
      <c r="G152" s="26"/>
      <c r="H152" s="26">
        <f t="shared" ref="H152:H164" si="30">SUM(D152:G152)</f>
        <v>0</v>
      </c>
      <c r="I152" s="48" t="s">
        <v>26</v>
      </c>
    </row>
    <row r="153" spans="1:9" ht="31.5" customHeight="1" x14ac:dyDescent="0.2">
      <c r="A153" s="62"/>
      <c r="B153" s="83">
        <v>2</v>
      </c>
      <c r="C153" s="73" t="s">
        <v>106</v>
      </c>
      <c r="D153" s="26">
        <v>0</v>
      </c>
      <c r="E153" s="26">
        <v>0</v>
      </c>
      <c r="F153" s="38"/>
      <c r="G153" s="26"/>
      <c r="H153" s="26">
        <f t="shared" si="30"/>
        <v>0</v>
      </c>
      <c r="I153" s="48" t="s">
        <v>26</v>
      </c>
    </row>
    <row r="154" spans="1:9" ht="31.5" customHeight="1" x14ac:dyDescent="0.2">
      <c r="A154" s="62"/>
      <c r="B154" s="83">
        <v>3</v>
      </c>
      <c r="C154" s="73" t="s">
        <v>99</v>
      </c>
      <c r="D154" s="26">
        <v>0</v>
      </c>
      <c r="E154" s="26">
        <v>0</v>
      </c>
      <c r="F154" s="38"/>
      <c r="G154" s="26"/>
      <c r="H154" s="26">
        <f t="shared" si="30"/>
        <v>0</v>
      </c>
      <c r="I154" s="48" t="s">
        <v>26</v>
      </c>
    </row>
    <row r="155" spans="1:9" ht="31.5" customHeight="1" x14ac:dyDescent="0.2">
      <c r="A155" s="62"/>
      <c r="B155" s="83">
        <v>4</v>
      </c>
      <c r="C155" s="73" t="s">
        <v>100</v>
      </c>
      <c r="D155" s="26">
        <v>0</v>
      </c>
      <c r="E155" s="26">
        <v>0</v>
      </c>
      <c r="F155" s="38"/>
      <c r="G155" s="26"/>
      <c r="H155" s="26">
        <f t="shared" si="30"/>
        <v>0</v>
      </c>
      <c r="I155" s="48" t="s">
        <v>26</v>
      </c>
    </row>
    <row r="156" spans="1:9" ht="31.5" customHeight="1" x14ac:dyDescent="0.2">
      <c r="A156" s="62"/>
      <c r="B156" s="83">
        <v>5</v>
      </c>
      <c r="C156" s="73" t="s">
        <v>46</v>
      </c>
      <c r="D156" s="26">
        <v>0</v>
      </c>
      <c r="E156" s="26">
        <v>0</v>
      </c>
      <c r="F156" s="38"/>
      <c r="G156" s="26"/>
      <c r="H156" s="26">
        <f t="shared" si="30"/>
        <v>0</v>
      </c>
      <c r="I156" s="48" t="s">
        <v>26</v>
      </c>
    </row>
    <row r="157" spans="1:9" ht="31.5" customHeight="1" x14ac:dyDescent="0.2">
      <c r="A157" s="83"/>
      <c r="B157" s="83">
        <v>6</v>
      </c>
      <c r="C157" s="119" t="s">
        <v>101</v>
      </c>
      <c r="D157" s="26">
        <v>0</v>
      </c>
      <c r="E157" s="26">
        <v>0</v>
      </c>
      <c r="F157" s="26"/>
      <c r="G157" s="26"/>
      <c r="H157" s="26">
        <f t="shared" si="30"/>
        <v>0</v>
      </c>
      <c r="I157" s="25" t="s">
        <v>26</v>
      </c>
    </row>
    <row r="158" spans="1:9" ht="31.5" customHeight="1" x14ac:dyDescent="0.2">
      <c r="A158" s="83"/>
      <c r="B158" s="83">
        <v>7</v>
      </c>
      <c r="C158" s="119" t="s">
        <v>102</v>
      </c>
      <c r="D158" s="26">
        <v>0</v>
      </c>
      <c r="E158" s="26">
        <v>0</v>
      </c>
      <c r="F158" s="26"/>
      <c r="G158" s="26"/>
      <c r="H158" s="26">
        <f t="shared" si="30"/>
        <v>0</v>
      </c>
      <c r="I158" s="25" t="s">
        <v>26</v>
      </c>
    </row>
    <row r="159" spans="1:9" ht="31.5" customHeight="1" x14ac:dyDescent="0.2">
      <c r="A159" s="62"/>
      <c r="B159" s="83">
        <v>8</v>
      </c>
      <c r="C159" s="73" t="s">
        <v>123</v>
      </c>
      <c r="D159" s="26">
        <v>0</v>
      </c>
      <c r="E159" s="26">
        <v>0</v>
      </c>
      <c r="F159" s="38"/>
      <c r="G159" s="26"/>
      <c r="H159" s="26">
        <f t="shared" si="30"/>
        <v>0</v>
      </c>
      <c r="I159" s="48" t="s">
        <v>26</v>
      </c>
    </row>
    <row r="160" spans="1:9" ht="31.5" customHeight="1" x14ac:dyDescent="0.2">
      <c r="A160" s="62"/>
      <c r="B160" s="83">
        <v>9</v>
      </c>
      <c r="C160" s="73" t="s">
        <v>103</v>
      </c>
      <c r="D160" s="26">
        <v>0</v>
      </c>
      <c r="E160" s="26">
        <v>0</v>
      </c>
      <c r="F160" s="38"/>
      <c r="G160" s="26"/>
      <c r="H160" s="26">
        <f t="shared" si="30"/>
        <v>0</v>
      </c>
      <c r="I160" s="48" t="s">
        <v>26</v>
      </c>
    </row>
    <row r="161" spans="1:9" ht="31.5" customHeight="1" x14ac:dyDescent="0.2">
      <c r="A161" s="62"/>
      <c r="B161" s="83">
        <v>10</v>
      </c>
      <c r="C161" s="73" t="s">
        <v>47</v>
      </c>
      <c r="D161" s="26">
        <v>0</v>
      </c>
      <c r="E161" s="26">
        <v>0</v>
      </c>
      <c r="F161" s="38"/>
      <c r="G161" s="26"/>
      <c r="H161" s="26">
        <f t="shared" si="30"/>
        <v>0</v>
      </c>
      <c r="I161" s="48" t="s">
        <v>26</v>
      </c>
    </row>
    <row r="162" spans="1:9" ht="31.5" customHeight="1" x14ac:dyDescent="0.2">
      <c r="A162" s="62"/>
      <c r="B162" s="83">
        <v>11</v>
      </c>
      <c r="C162" s="73" t="s">
        <v>48</v>
      </c>
      <c r="D162" s="26">
        <v>0</v>
      </c>
      <c r="E162" s="26">
        <v>0</v>
      </c>
      <c r="F162" s="38"/>
      <c r="G162" s="26"/>
      <c r="H162" s="26">
        <f t="shared" si="30"/>
        <v>0</v>
      </c>
      <c r="I162" s="48" t="s">
        <v>26</v>
      </c>
    </row>
    <row r="163" spans="1:9" s="4" customFormat="1" ht="31.5" customHeight="1" thickBot="1" x14ac:dyDescent="0.25">
      <c r="A163" s="66"/>
      <c r="B163" s="102">
        <v>12</v>
      </c>
      <c r="C163" s="103" t="s">
        <v>104</v>
      </c>
      <c r="D163" s="34">
        <v>0</v>
      </c>
      <c r="E163" s="34">
        <v>0</v>
      </c>
      <c r="F163" s="5"/>
      <c r="G163" s="34"/>
      <c r="H163" s="34">
        <f t="shared" si="30"/>
        <v>0</v>
      </c>
      <c r="I163" s="54" t="s">
        <v>26</v>
      </c>
    </row>
    <row r="164" spans="1:9" ht="31.5" customHeight="1" x14ac:dyDescent="0.2">
      <c r="A164" s="62"/>
      <c r="B164" s="83">
        <v>13</v>
      </c>
      <c r="C164" s="73" t="s">
        <v>49</v>
      </c>
      <c r="D164" s="26">
        <v>0</v>
      </c>
      <c r="E164" s="26">
        <v>0</v>
      </c>
      <c r="F164" s="38"/>
      <c r="G164" s="26"/>
      <c r="H164" s="26">
        <f t="shared" si="30"/>
        <v>0</v>
      </c>
      <c r="I164" s="48" t="s">
        <v>26</v>
      </c>
    </row>
    <row r="165" spans="1:9" ht="42.75" customHeight="1" x14ac:dyDescent="0.2">
      <c r="A165" s="65"/>
      <c r="B165" s="88" t="s">
        <v>28</v>
      </c>
      <c r="C165" s="76" t="s">
        <v>50</v>
      </c>
      <c r="D165" s="35">
        <f>SUM(D152:D164)</f>
        <v>0</v>
      </c>
      <c r="E165" s="35">
        <f>SUM(E152:E164)</f>
        <v>0</v>
      </c>
      <c r="F165" s="46">
        <f>SUM(F152:F164)</f>
        <v>0</v>
      </c>
      <c r="G165" s="35">
        <f>SUM(G152:G164)</f>
        <v>0</v>
      </c>
      <c r="H165" s="35">
        <f>SUM(H152:H164)</f>
        <v>0</v>
      </c>
      <c r="I165" s="53"/>
    </row>
    <row r="166" spans="1:9" ht="31.5" customHeight="1" x14ac:dyDescent="0.2">
      <c r="A166" s="62"/>
      <c r="B166" s="83"/>
      <c r="C166" s="72" t="s">
        <v>139</v>
      </c>
      <c r="D166" s="26"/>
      <c r="E166" s="26"/>
      <c r="F166" s="38"/>
      <c r="G166" s="26"/>
      <c r="H166" s="26"/>
      <c r="I166" s="48"/>
    </row>
    <row r="167" spans="1:9" ht="31.5" customHeight="1" x14ac:dyDescent="0.2">
      <c r="A167" s="62"/>
      <c r="B167" s="83">
        <v>1</v>
      </c>
      <c r="C167" s="77" t="s">
        <v>106</v>
      </c>
      <c r="D167" s="26">
        <v>0</v>
      </c>
      <c r="E167" s="26">
        <v>0</v>
      </c>
      <c r="F167" s="38"/>
      <c r="G167" s="26"/>
      <c r="H167" s="26">
        <f t="shared" ref="H167:H177" si="31">SUM(D167:G167)</f>
        <v>0</v>
      </c>
      <c r="I167" s="48" t="s">
        <v>26</v>
      </c>
    </row>
    <row r="168" spans="1:9" ht="31.5" customHeight="1" x14ac:dyDescent="0.2">
      <c r="A168" s="62"/>
      <c r="B168" s="83">
        <v>2</v>
      </c>
      <c r="C168" s="77" t="s">
        <v>105</v>
      </c>
      <c r="D168" s="26">
        <v>0</v>
      </c>
      <c r="E168" s="26">
        <v>0</v>
      </c>
      <c r="F168" s="38"/>
      <c r="G168" s="26"/>
      <c r="H168" s="26">
        <f t="shared" si="31"/>
        <v>0</v>
      </c>
      <c r="I168" s="48" t="s">
        <v>26</v>
      </c>
    </row>
    <row r="169" spans="1:9" ht="31.5" customHeight="1" x14ac:dyDescent="0.2">
      <c r="A169" s="62"/>
      <c r="B169" s="83">
        <v>3</v>
      </c>
      <c r="C169" s="77" t="s">
        <v>107</v>
      </c>
      <c r="D169" s="26">
        <v>0</v>
      </c>
      <c r="E169" s="26">
        <v>0</v>
      </c>
      <c r="F169" s="38"/>
      <c r="G169" s="26"/>
      <c r="H169" s="26">
        <f t="shared" si="31"/>
        <v>0</v>
      </c>
      <c r="I169" s="48" t="s">
        <v>26</v>
      </c>
    </row>
    <row r="170" spans="1:9" ht="31.5" customHeight="1" x14ac:dyDescent="0.2">
      <c r="A170" s="62"/>
      <c r="B170" s="83">
        <v>4</v>
      </c>
      <c r="C170" s="77" t="s">
        <v>108</v>
      </c>
      <c r="D170" s="26">
        <v>0</v>
      </c>
      <c r="E170" s="26">
        <v>0</v>
      </c>
      <c r="F170" s="38"/>
      <c r="G170" s="26"/>
      <c r="H170" s="26">
        <f t="shared" si="31"/>
        <v>0</v>
      </c>
      <c r="I170" s="48" t="s">
        <v>26</v>
      </c>
    </row>
    <row r="171" spans="1:9" ht="31.5" customHeight="1" x14ac:dyDescent="0.2">
      <c r="A171" s="62"/>
      <c r="B171" s="83">
        <v>5</v>
      </c>
      <c r="C171" s="77" t="s">
        <v>109</v>
      </c>
      <c r="D171" s="26">
        <v>0</v>
      </c>
      <c r="E171" s="26">
        <v>0</v>
      </c>
      <c r="F171" s="38"/>
      <c r="G171" s="26"/>
      <c r="H171" s="26">
        <f t="shared" si="31"/>
        <v>0</v>
      </c>
      <c r="I171" s="48" t="s">
        <v>26</v>
      </c>
    </row>
    <row r="172" spans="1:9" ht="31.5" customHeight="1" x14ac:dyDescent="0.2">
      <c r="A172" s="62"/>
      <c r="B172" s="83">
        <v>6</v>
      </c>
      <c r="C172" s="77" t="s">
        <v>52</v>
      </c>
      <c r="D172" s="26">
        <v>0</v>
      </c>
      <c r="E172" s="26">
        <v>0</v>
      </c>
      <c r="F172" s="38"/>
      <c r="G172" s="26"/>
      <c r="H172" s="26">
        <f t="shared" si="31"/>
        <v>0</v>
      </c>
      <c r="I172" s="48" t="s">
        <v>26</v>
      </c>
    </row>
    <row r="173" spans="1:9" ht="31.5" customHeight="1" x14ac:dyDescent="0.2">
      <c r="A173" s="62"/>
      <c r="B173" s="83">
        <v>7</v>
      </c>
      <c r="C173" s="77" t="s">
        <v>102</v>
      </c>
      <c r="D173" s="26">
        <v>0</v>
      </c>
      <c r="E173" s="26">
        <v>0</v>
      </c>
      <c r="F173" s="38"/>
      <c r="G173" s="26"/>
      <c r="H173" s="26">
        <f t="shared" si="31"/>
        <v>0</v>
      </c>
      <c r="I173" s="48" t="s">
        <v>26</v>
      </c>
    </row>
    <row r="174" spans="1:9" ht="31.5" customHeight="1" x14ac:dyDescent="0.2">
      <c r="A174" s="62"/>
      <c r="B174" s="83">
        <v>8</v>
      </c>
      <c r="C174" s="77" t="s">
        <v>124</v>
      </c>
      <c r="D174" s="26">
        <v>0</v>
      </c>
      <c r="E174" s="26">
        <v>0</v>
      </c>
      <c r="F174" s="38"/>
      <c r="G174" s="26"/>
      <c r="H174" s="26">
        <f t="shared" si="31"/>
        <v>0</v>
      </c>
      <c r="I174" s="48" t="s">
        <v>26</v>
      </c>
    </row>
    <row r="175" spans="1:9" ht="31.5" customHeight="1" x14ac:dyDescent="0.2">
      <c r="A175" s="62"/>
      <c r="B175" s="83">
        <v>9</v>
      </c>
      <c r="C175" s="77" t="s">
        <v>110</v>
      </c>
      <c r="D175" s="26">
        <v>0</v>
      </c>
      <c r="E175" s="26">
        <v>0</v>
      </c>
      <c r="F175" s="38"/>
      <c r="G175" s="26"/>
      <c r="H175" s="26">
        <f t="shared" si="31"/>
        <v>0</v>
      </c>
      <c r="I175" s="48" t="s">
        <v>26</v>
      </c>
    </row>
    <row r="176" spans="1:9" ht="31.5" customHeight="1" x14ac:dyDescent="0.2">
      <c r="A176" s="62"/>
      <c r="B176" s="83">
        <v>10</v>
      </c>
      <c r="C176" s="1" t="s">
        <v>48</v>
      </c>
      <c r="D176" s="26">
        <v>0</v>
      </c>
      <c r="E176" s="26">
        <v>0</v>
      </c>
      <c r="F176" s="38"/>
      <c r="G176" s="26"/>
      <c r="H176" s="26">
        <f t="shared" si="31"/>
        <v>0</v>
      </c>
      <c r="I176" s="48" t="s">
        <v>26</v>
      </c>
    </row>
    <row r="177" spans="1:9" ht="31.5" customHeight="1" x14ac:dyDescent="0.2">
      <c r="A177" s="62"/>
      <c r="B177" s="83">
        <v>11</v>
      </c>
      <c r="C177" s="1" t="s">
        <v>111</v>
      </c>
      <c r="D177" s="26">
        <v>0</v>
      </c>
      <c r="E177" s="26">
        <v>0</v>
      </c>
      <c r="F177" s="38"/>
      <c r="G177" s="26"/>
      <c r="H177" s="26">
        <f t="shared" si="31"/>
        <v>0</v>
      </c>
      <c r="I177" s="48" t="s">
        <v>26</v>
      </c>
    </row>
    <row r="178" spans="1:9" ht="31.5" customHeight="1" x14ac:dyDescent="0.2">
      <c r="A178" s="65"/>
      <c r="B178" s="88" t="s">
        <v>29</v>
      </c>
      <c r="C178" s="78" t="s">
        <v>51</v>
      </c>
      <c r="D178" s="35">
        <f>SUM(D167:D177)</f>
        <v>0</v>
      </c>
      <c r="E178" s="35">
        <f>SUM(E167:E177)</f>
        <v>0</v>
      </c>
      <c r="F178" s="46">
        <f>SUM(F167:F177)</f>
        <v>0</v>
      </c>
      <c r="G178" s="35">
        <f>SUM(G167:G177)</f>
        <v>0</v>
      </c>
      <c r="H178" s="35">
        <f>SUM(H167:H177)</f>
        <v>0</v>
      </c>
      <c r="I178" s="53"/>
    </row>
    <row r="179" spans="1:9" ht="31.5" customHeight="1" x14ac:dyDescent="0.2">
      <c r="A179" s="62"/>
      <c r="B179" s="89"/>
      <c r="C179" s="13" t="s">
        <v>53</v>
      </c>
      <c r="D179" s="26"/>
      <c r="E179" s="26"/>
      <c r="F179" s="38"/>
      <c r="G179" s="26"/>
      <c r="H179" s="26"/>
      <c r="I179" s="48"/>
    </row>
    <row r="180" spans="1:9" ht="31.5" customHeight="1" x14ac:dyDescent="0.2">
      <c r="A180" s="62"/>
      <c r="B180" s="83">
        <v>1</v>
      </c>
      <c r="C180" s="1" t="s">
        <v>113</v>
      </c>
      <c r="D180" s="26">
        <v>0</v>
      </c>
      <c r="E180" s="26">
        <v>0</v>
      </c>
      <c r="F180" s="38"/>
      <c r="G180" s="26"/>
      <c r="H180" s="26">
        <f t="shared" ref="H180" si="32">SUM(D180:G180)</f>
        <v>0</v>
      </c>
      <c r="I180" s="48" t="s">
        <v>26</v>
      </c>
    </row>
    <row r="181" spans="1:9" ht="31.5" customHeight="1" x14ac:dyDescent="0.2">
      <c r="A181" s="65"/>
      <c r="B181" s="88" t="s">
        <v>30</v>
      </c>
      <c r="C181" s="79" t="s">
        <v>112</v>
      </c>
      <c r="D181" s="35">
        <f>SUM(D180:D180)</f>
        <v>0</v>
      </c>
      <c r="E181" s="35">
        <f>SUM(E180:E180)</f>
        <v>0</v>
      </c>
      <c r="F181" s="46">
        <f>SUM(F180:F180)</f>
        <v>0</v>
      </c>
      <c r="G181" s="35">
        <f>SUM(G180:G180)</f>
        <v>0</v>
      </c>
      <c r="H181" s="35">
        <f>SUM(H180:H180)</f>
        <v>0</v>
      </c>
      <c r="I181" s="53"/>
    </row>
    <row r="182" spans="1:9" ht="31.5" customHeight="1" x14ac:dyDescent="0.2">
      <c r="A182" s="62"/>
      <c r="B182" s="89"/>
      <c r="C182" s="13" t="s">
        <v>55</v>
      </c>
      <c r="D182" s="26"/>
      <c r="E182" s="26"/>
      <c r="F182" s="38"/>
      <c r="G182" s="26"/>
      <c r="H182" s="26"/>
      <c r="I182" s="48"/>
    </row>
    <row r="183" spans="1:9" ht="31.5" customHeight="1" x14ac:dyDescent="0.2">
      <c r="A183" s="62"/>
      <c r="B183" s="83">
        <v>1</v>
      </c>
      <c r="C183" s="1" t="s">
        <v>57</v>
      </c>
      <c r="D183" s="26">
        <v>0</v>
      </c>
      <c r="E183" s="26">
        <v>0</v>
      </c>
      <c r="F183" s="38"/>
      <c r="G183" s="26"/>
      <c r="H183" s="26">
        <f t="shared" ref="H183:H185" si="33">SUM(D183:G183)</f>
        <v>0</v>
      </c>
      <c r="I183" s="48" t="s">
        <v>26</v>
      </c>
    </row>
    <row r="184" spans="1:9" ht="31.5" customHeight="1" x14ac:dyDescent="0.2">
      <c r="A184" s="62"/>
      <c r="B184" s="83">
        <v>2</v>
      </c>
      <c r="C184" s="1" t="s">
        <v>58</v>
      </c>
      <c r="D184" s="26">
        <v>0</v>
      </c>
      <c r="E184" s="26">
        <v>0</v>
      </c>
      <c r="F184" s="38"/>
      <c r="G184" s="26"/>
      <c r="H184" s="26">
        <f t="shared" si="33"/>
        <v>0</v>
      </c>
      <c r="I184" s="48" t="s">
        <v>26</v>
      </c>
    </row>
    <row r="185" spans="1:9" ht="31.5" customHeight="1" x14ac:dyDescent="0.2">
      <c r="A185" s="62"/>
      <c r="B185" s="83">
        <v>3</v>
      </c>
      <c r="C185" s="1" t="s">
        <v>114</v>
      </c>
      <c r="D185" s="26">
        <v>0</v>
      </c>
      <c r="E185" s="26">
        <v>0</v>
      </c>
      <c r="F185" s="38"/>
      <c r="G185" s="26"/>
      <c r="H185" s="26">
        <f t="shared" si="33"/>
        <v>0</v>
      </c>
      <c r="I185" s="48" t="s">
        <v>26</v>
      </c>
    </row>
    <row r="186" spans="1:9" ht="31.5" customHeight="1" thickBot="1" x14ac:dyDescent="0.25">
      <c r="A186" s="67"/>
      <c r="B186" s="90" t="s">
        <v>31</v>
      </c>
      <c r="C186" s="80" t="s">
        <v>56</v>
      </c>
      <c r="D186" s="36">
        <f>SUM(D183:D185)</f>
        <v>0</v>
      </c>
      <c r="E186" s="36">
        <f>SUM(E183:E185)</f>
        <v>0</v>
      </c>
      <c r="F186" s="47">
        <f>SUM(F183:F185)</f>
        <v>0</v>
      </c>
      <c r="G186" s="36">
        <f>SUM(G183:G185)</f>
        <v>0</v>
      </c>
      <c r="H186" s="36">
        <f>SUM(H183:H185)</f>
        <v>0</v>
      </c>
      <c r="I186" s="55"/>
    </row>
    <row r="187" spans="1:9" ht="31.5" customHeight="1" thickBot="1" x14ac:dyDescent="0.25">
      <c r="A187" s="68"/>
      <c r="B187" s="86" t="s">
        <v>4</v>
      </c>
      <c r="C187" s="75" t="s">
        <v>54</v>
      </c>
      <c r="D187" s="29">
        <f>D186+D181+D178+D165+D150</f>
        <v>0</v>
      </c>
      <c r="E187" s="29">
        <f>E186+E181+E178+E165+E150</f>
        <v>0</v>
      </c>
      <c r="F187" s="41">
        <f>F186+F181+F178+F165+F150</f>
        <v>0</v>
      </c>
      <c r="G187" s="29">
        <f>G186+G181+G178+G165+G150</f>
        <v>0</v>
      </c>
      <c r="H187" s="29">
        <f>H186+H181+H178+H165+H150</f>
        <v>0</v>
      </c>
      <c r="I187" s="56"/>
    </row>
    <row r="188" spans="1:9" ht="31.5" customHeight="1" x14ac:dyDescent="0.2">
      <c r="A188" s="62"/>
      <c r="B188" s="25"/>
      <c r="C188" s="71" t="s">
        <v>7</v>
      </c>
      <c r="E188" s="6"/>
      <c r="G188" s="6"/>
      <c r="H188" s="26"/>
      <c r="I188" s="52"/>
    </row>
    <row r="189" spans="1:9" ht="31.5" customHeight="1" thickBot="1" x14ac:dyDescent="0.25">
      <c r="A189" s="62"/>
      <c r="B189" s="25">
        <v>1</v>
      </c>
      <c r="C189" s="73" t="s">
        <v>115</v>
      </c>
      <c r="D189" s="6">
        <f>394-331</f>
        <v>63</v>
      </c>
      <c r="E189" s="6">
        <f>106-89</f>
        <v>17</v>
      </c>
      <c r="G189" s="6"/>
      <c r="H189" s="26">
        <f t="shared" ref="H189" si="34">SUM(D189:G189)</f>
        <v>80</v>
      </c>
      <c r="I189" s="48" t="s">
        <v>26</v>
      </c>
    </row>
    <row r="190" spans="1:9" ht="31.5" customHeight="1" thickBot="1" x14ac:dyDescent="0.25">
      <c r="A190" s="68"/>
      <c r="B190" s="91" t="s">
        <v>5</v>
      </c>
      <c r="C190" s="75" t="s">
        <v>59</v>
      </c>
      <c r="D190" s="31">
        <f>SUM(D189:D189)</f>
        <v>63</v>
      </c>
      <c r="E190" s="31">
        <f>SUM(E189:E189)</f>
        <v>17</v>
      </c>
      <c r="F190" s="43">
        <f>SUM(F189:F189)</f>
        <v>0</v>
      </c>
      <c r="G190" s="31">
        <f>SUM(G189:G189)</f>
        <v>0</v>
      </c>
      <c r="H190" s="31">
        <f>SUM(H189:H189)</f>
        <v>80</v>
      </c>
      <c r="I190" s="51"/>
    </row>
    <row r="191" spans="1:9" ht="31.5" customHeight="1" x14ac:dyDescent="0.2">
      <c r="A191" s="62"/>
      <c r="B191" s="25"/>
      <c r="C191" s="71" t="s">
        <v>8</v>
      </c>
      <c r="D191" s="26"/>
      <c r="E191" s="26"/>
      <c r="F191" s="38"/>
      <c r="G191" s="26"/>
      <c r="H191" s="6"/>
      <c r="I191" s="48"/>
    </row>
    <row r="192" spans="1:9" ht="31.5" customHeight="1" thickBot="1" x14ac:dyDescent="0.25">
      <c r="A192" s="62"/>
      <c r="B192" s="25">
        <v>1</v>
      </c>
      <c r="C192" s="73" t="s">
        <v>61</v>
      </c>
      <c r="D192" s="26">
        <v>5</v>
      </c>
      <c r="E192" s="26">
        <v>1</v>
      </c>
      <c r="F192" s="38"/>
      <c r="G192" s="26"/>
      <c r="H192" s="26">
        <f t="shared" ref="H192" si="35">SUM(D192:G192)</f>
        <v>6</v>
      </c>
      <c r="I192" s="48" t="s">
        <v>26</v>
      </c>
    </row>
    <row r="193" spans="1:9" ht="31.5" customHeight="1" thickBot="1" x14ac:dyDescent="0.25">
      <c r="A193" s="69"/>
      <c r="B193" s="91" t="s">
        <v>6</v>
      </c>
      <c r="C193" s="75" t="s">
        <v>60</v>
      </c>
      <c r="D193" s="29">
        <f>SUM(D192:D192)</f>
        <v>5</v>
      </c>
      <c r="E193" s="29">
        <f>SUM(E192:E192)</f>
        <v>1</v>
      </c>
      <c r="F193" s="41">
        <f>SUM(F192:F192)</f>
        <v>0</v>
      </c>
      <c r="G193" s="29">
        <f>SUM(G192:G192)</f>
        <v>0</v>
      </c>
      <c r="H193" s="29">
        <f>SUM(H192:H192)</f>
        <v>6</v>
      </c>
      <c r="I193" s="56"/>
    </row>
    <row r="194" spans="1:9" s="4" customFormat="1" ht="31.5" customHeight="1" thickBot="1" x14ac:dyDescent="0.25">
      <c r="A194" s="66"/>
      <c r="B194" s="92"/>
      <c r="C194" s="81" t="s">
        <v>9</v>
      </c>
      <c r="D194" s="34"/>
      <c r="E194" s="34"/>
      <c r="F194" s="5"/>
      <c r="G194" s="34"/>
      <c r="H194" s="21"/>
      <c r="I194" s="54"/>
    </row>
    <row r="195" spans="1:9" ht="31.5" customHeight="1" thickBot="1" x14ac:dyDescent="0.25">
      <c r="A195" s="62"/>
      <c r="B195" s="25">
        <v>1</v>
      </c>
      <c r="C195" s="73" t="s">
        <v>62</v>
      </c>
      <c r="D195" s="26">
        <v>1575</v>
      </c>
      <c r="E195" s="26">
        <v>425</v>
      </c>
      <c r="F195" s="38">
        <v>-1575</v>
      </c>
      <c r="G195" s="26">
        <v>-425</v>
      </c>
      <c r="H195" s="26">
        <f t="shared" ref="H195" si="36">SUM(D195:G195)</f>
        <v>0</v>
      </c>
      <c r="I195" s="48" t="s">
        <v>26</v>
      </c>
    </row>
    <row r="196" spans="1:9" ht="31.5" customHeight="1" thickBot="1" x14ac:dyDescent="0.25">
      <c r="A196" s="64"/>
      <c r="B196" s="91" t="s">
        <v>17</v>
      </c>
      <c r="C196" s="75" t="s">
        <v>213</v>
      </c>
      <c r="D196" s="29">
        <f>SUM(D195:D195)</f>
        <v>1575</v>
      </c>
      <c r="E196" s="29">
        <f>SUM(E195:E195)</f>
        <v>425</v>
      </c>
      <c r="F196" s="29">
        <f>SUM(F195:F195)</f>
        <v>-1575</v>
      </c>
      <c r="G196" s="29">
        <f>SUM(G195:G195)</f>
        <v>-425</v>
      </c>
      <c r="H196" s="29">
        <f>SUM(H195:H195)</f>
        <v>0</v>
      </c>
      <c r="I196" s="51"/>
    </row>
    <row r="197" spans="1:9" s="12" customFormat="1" ht="31.5" customHeight="1" x14ac:dyDescent="0.2">
      <c r="A197" s="62"/>
      <c r="B197" s="25"/>
      <c r="C197" s="71" t="s">
        <v>10</v>
      </c>
      <c r="D197" s="26"/>
      <c r="E197" s="26"/>
      <c r="F197" s="38"/>
      <c r="G197" s="26"/>
      <c r="H197" s="6"/>
      <c r="I197" s="48"/>
    </row>
    <row r="198" spans="1:9" s="13" customFormat="1" ht="31.5" customHeight="1" x14ac:dyDescent="0.2">
      <c r="A198" s="62"/>
      <c r="B198" s="25">
        <v>1</v>
      </c>
      <c r="C198" s="73" t="s">
        <v>116</v>
      </c>
      <c r="D198" s="26">
        <v>0</v>
      </c>
      <c r="E198" s="26">
        <v>0</v>
      </c>
      <c r="F198" s="38"/>
      <c r="G198" s="26"/>
      <c r="H198" s="26">
        <f t="shared" ref="H198:H200" si="37">SUM(D198:G198)</f>
        <v>0</v>
      </c>
      <c r="I198" s="48" t="s">
        <v>26</v>
      </c>
    </row>
    <row r="199" spans="1:9" s="13" customFormat="1" ht="31.5" customHeight="1" x14ac:dyDescent="0.2">
      <c r="A199" s="62"/>
      <c r="B199" s="25">
        <v>2</v>
      </c>
      <c r="C199" s="73" t="s">
        <v>64</v>
      </c>
      <c r="D199" s="26">
        <f>1575+3312</f>
        <v>4887</v>
      </c>
      <c r="E199" s="26">
        <f>425+894</f>
        <v>1319</v>
      </c>
      <c r="F199" s="38"/>
      <c r="G199" s="26"/>
      <c r="H199" s="26">
        <f t="shared" si="37"/>
        <v>6206</v>
      </c>
      <c r="I199" s="48" t="s">
        <v>26</v>
      </c>
    </row>
    <row r="200" spans="1:9" s="13" customFormat="1" ht="31.5" customHeight="1" thickBot="1" x14ac:dyDescent="0.25">
      <c r="A200" s="62"/>
      <c r="B200" s="25">
        <v>3</v>
      </c>
      <c r="C200" s="73" t="s">
        <v>65</v>
      </c>
      <c r="D200" s="26">
        <v>0</v>
      </c>
      <c r="E200" s="26">
        <v>0</v>
      </c>
      <c r="F200" s="38"/>
      <c r="G200" s="26"/>
      <c r="H200" s="26">
        <f t="shared" si="37"/>
        <v>0</v>
      </c>
      <c r="I200" s="48" t="s">
        <v>26</v>
      </c>
    </row>
    <row r="201" spans="1:9" s="13" customFormat="1" ht="31.5" customHeight="1" thickBot="1" x14ac:dyDescent="0.25">
      <c r="A201" s="64"/>
      <c r="B201" s="91" t="s">
        <v>34</v>
      </c>
      <c r="C201" s="75" t="s">
        <v>63</v>
      </c>
      <c r="D201" s="29">
        <f>SUM(D198:D200)</f>
        <v>4887</v>
      </c>
      <c r="E201" s="29">
        <f>SUM(E198:E200)</f>
        <v>1319</v>
      </c>
      <c r="F201" s="29">
        <f>SUM(F198:F200)</f>
        <v>0</v>
      </c>
      <c r="G201" s="29">
        <f>SUM(G198:G200)</f>
        <v>0</v>
      </c>
      <c r="H201" s="29">
        <f>SUM(H198:H200)</f>
        <v>6206</v>
      </c>
      <c r="I201" s="51"/>
    </row>
    <row r="202" spans="1:9" s="13" customFormat="1" ht="31.5" customHeight="1" x14ac:dyDescent="0.2">
      <c r="A202" s="62"/>
      <c r="B202" s="25"/>
      <c r="C202" s="71" t="s">
        <v>16</v>
      </c>
      <c r="D202" s="26"/>
      <c r="E202" s="26"/>
      <c r="F202" s="38"/>
      <c r="G202" s="26"/>
      <c r="H202" s="6"/>
      <c r="I202" s="48"/>
    </row>
    <row r="203" spans="1:9" s="13" customFormat="1" ht="31.5" customHeight="1" thickBot="1" x14ac:dyDescent="0.25">
      <c r="A203" s="62"/>
      <c r="B203" s="25">
        <v>1</v>
      </c>
      <c r="C203" s="73" t="s">
        <v>117</v>
      </c>
      <c r="D203" s="26">
        <f>157-84</f>
        <v>73</v>
      </c>
      <c r="E203" s="26">
        <f>43-23</f>
        <v>20</v>
      </c>
      <c r="F203" s="38"/>
      <c r="G203" s="26"/>
      <c r="H203" s="26">
        <f t="shared" ref="H203" si="38">SUM(D203:G203)</f>
        <v>93</v>
      </c>
      <c r="I203" s="48" t="s">
        <v>26</v>
      </c>
    </row>
    <row r="204" spans="1:9" s="13" customFormat="1" ht="31.5" customHeight="1" thickBot="1" x14ac:dyDescent="0.25">
      <c r="A204" s="64"/>
      <c r="B204" s="91" t="s">
        <v>35</v>
      </c>
      <c r="C204" s="75" t="s">
        <v>196</v>
      </c>
      <c r="D204" s="29">
        <f>SUM(D203:D203)</f>
        <v>73</v>
      </c>
      <c r="E204" s="29">
        <f>SUM(E203:E203)</f>
        <v>20</v>
      </c>
      <c r="F204" s="29">
        <f>SUM(F203:F203)</f>
        <v>0</v>
      </c>
      <c r="G204" s="29">
        <f>SUM(G203:G203)</f>
        <v>0</v>
      </c>
      <c r="H204" s="29">
        <f>SUM(H203:H203)</f>
        <v>93</v>
      </c>
      <c r="I204" s="51"/>
    </row>
    <row r="205" spans="1:9" s="12" customFormat="1" ht="31.5" customHeight="1" x14ac:dyDescent="0.2">
      <c r="A205" s="62"/>
      <c r="B205" s="87"/>
      <c r="C205" s="71" t="s">
        <v>3</v>
      </c>
      <c r="D205" s="30"/>
      <c r="E205" s="30"/>
      <c r="F205" s="42"/>
      <c r="G205" s="30"/>
      <c r="H205" s="32"/>
      <c r="I205" s="48"/>
    </row>
    <row r="206" spans="1:9" s="13" customFormat="1" ht="31.5" customHeight="1" x14ac:dyDescent="0.2">
      <c r="A206" s="62"/>
      <c r="B206" s="25">
        <v>1</v>
      </c>
      <c r="C206" s="73" t="s">
        <v>68</v>
      </c>
      <c r="D206" s="26">
        <v>630</v>
      </c>
      <c r="E206" s="26">
        <v>170</v>
      </c>
      <c r="F206" s="38"/>
      <c r="G206" s="26"/>
      <c r="H206" s="26">
        <f t="shared" ref="H206:H207" si="39">SUM(D206:G206)</f>
        <v>800</v>
      </c>
      <c r="I206" s="48" t="s">
        <v>26</v>
      </c>
    </row>
    <row r="207" spans="1:9" s="13" customFormat="1" ht="31.5" customHeight="1" thickBot="1" x14ac:dyDescent="0.25">
      <c r="A207" s="62"/>
      <c r="B207" s="25">
        <v>2</v>
      </c>
      <c r="C207" s="73" t="s">
        <v>69</v>
      </c>
      <c r="D207" s="26">
        <v>945</v>
      </c>
      <c r="E207" s="26">
        <v>255</v>
      </c>
      <c r="F207" s="38"/>
      <c r="G207" s="26"/>
      <c r="H207" s="26">
        <f t="shared" si="39"/>
        <v>1200</v>
      </c>
      <c r="I207" s="48" t="s">
        <v>26</v>
      </c>
    </row>
    <row r="208" spans="1:9" s="13" customFormat="1" ht="31.5" customHeight="1" thickBot="1" x14ac:dyDescent="0.25">
      <c r="A208" s="68"/>
      <c r="B208" s="91" t="s">
        <v>36</v>
      </c>
      <c r="C208" s="75" t="s">
        <v>67</v>
      </c>
      <c r="D208" s="29">
        <f>SUM(D206:D207)</f>
        <v>1575</v>
      </c>
      <c r="E208" s="29">
        <f>SUM(E206:E207)</f>
        <v>425</v>
      </c>
      <c r="F208" s="41">
        <f>SUM(F206:F207)</f>
        <v>0</v>
      </c>
      <c r="G208" s="29">
        <f>SUM(G206:G207)</f>
        <v>0</v>
      </c>
      <c r="H208" s="29">
        <f>SUM(H206:H207)</f>
        <v>2000</v>
      </c>
      <c r="I208" s="56"/>
    </row>
    <row r="209" spans="1:9" s="13" customFormat="1" ht="31.5" customHeight="1" thickBot="1" x14ac:dyDescent="0.25">
      <c r="A209" s="64">
        <v>6401</v>
      </c>
      <c r="B209" s="91"/>
      <c r="C209" s="75" t="s">
        <v>66</v>
      </c>
      <c r="D209" s="31">
        <f>+D187+D190+D193+D196+D201+D204+D208</f>
        <v>8178</v>
      </c>
      <c r="E209" s="31">
        <f>+E187+E190+E193+E196+E201+E204+E208</f>
        <v>2207</v>
      </c>
      <c r="F209" s="43">
        <f>+F187+F190+F193+F196+F201+F204+F208</f>
        <v>-1575</v>
      </c>
      <c r="G209" s="31">
        <f>+G187+G190+G193+G196+G201+G204+G208</f>
        <v>-425</v>
      </c>
      <c r="H209" s="31">
        <f>+H187+H190+H193+H196+H201+H204+H208</f>
        <v>8385</v>
      </c>
      <c r="I209" s="51"/>
    </row>
    <row r="210" spans="1:9" ht="31.5" customHeight="1" x14ac:dyDescent="0.2">
      <c r="A210" s="108">
        <v>6404</v>
      </c>
      <c r="B210" s="109"/>
      <c r="C210" s="110" t="s">
        <v>25</v>
      </c>
      <c r="D210" s="107"/>
      <c r="E210" s="107"/>
      <c r="F210" s="105"/>
      <c r="G210" s="107"/>
      <c r="H210" s="107"/>
      <c r="I210" s="106"/>
    </row>
    <row r="211" spans="1:9" s="9" customFormat="1" ht="31.5" customHeight="1" thickBot="1" x14ac:dyDescent="0.25">
      <c r="A211" s="63"/>
      <c r="B211" s="83"/>
      <c r="C211" s="72" t="s">
        <v>122</v>
      </c>
      <c r="D211" s="26"/>
      <c r="E211" s="26"/>
      <c r="F211" s="38"/>
      <c r="G211" s="26"/>
      <c r="H211" s="26"/>
      <c r="I211" s="48"/>
    </row>
    <row r="212" spans="1:9" s="8" customFormat="1" ht="31.5" customHeight="1" thickBot="1" x14ac:dyDescent="0.25">
      <c r="A212" s="63"/>
      <c r="B212" s="83">
        <v>1</v>
      </c>
      <c r="C212" s="73" t="s">
        <v>72</v>
      </c>
      <c r="D212" s="6">
        <v>0</v>
      </c>
      <c r="E212" s="6">
        <v>0</v>
      </c>
      <c r="F212" s="1"/>
      <c r="G212" s="6"/>
      <c r="H212" s="26">
        <f t="shared" ref="H212:H225" si="40">SUM(D212:G212)</f>
        <v>0</v>
      </c>
      <c r="I212" s="48" t="s">
        <v>26</v>
      </c>
    </row>
    <row r="213" spans="1:9" ht="37.5" x14ac:dyDescent="0.2">
      <c r="A213" s="62"/>
      <c r="B213" s="25">
        <v>2</v>
      </c>
      <c r="C213" s="73" t="s">
        <v>163</v>
      </c>
      <c r="D213" s="6">
        <v>0</v>
      </c>
      <c r="E213" s="6">
        <v>0</v>
      </c>
      <c r="G213" s="6"/>
      <c r="H213" s="26">
        <f t="shared" si="40"/>
        <v>0</v>
      </c>
      <c r="I213" s="48" t="s">
        <v>26</v>
      </c>
    </row>
    <row r="214" spans="1:9" s="21" customFormat="1" ht="31.5" customHeight="1" thickBot="1" x14ac:dyDescent="0.25">
      <c r="A214" s="125"/>
      <c r="B214" s="102">
        <v>3</v>
      </c>
      <c r="C214" s="103" t="s">
        <v>73</v>
      </c>
      <c r="D214" s="34">
        <v>68745</v>
      </c>
      <c r="E214" s="34">
        <v>18561</v>
      </c>
      <c r="F214" s="5"/>
      <c r="G214" s="34"/>
      <c r="H214" s="34">
        <f t="shared" si="40"/>
        <v>87306</v>
      </c>
      <c r="I214" s="54" t="s">
        <v>26</v>
      </c>
    </row>
    <row r="215" spans="1:9" s="6" customFormat="1" ht="31.5" customHeight="1" x14ac:dyDescent="0.2">
      <c r="A215" s="59"/>
      <c r="B215" s="25">
        <v>4</v>
      </c>
      <c r="C215" s="73" t="s">
        <v>74</v>
      </c>
      <c r="D215" s="26">
        <v>1575</v>
      </c>
      <c r="E215" s="26">
        <v>425</v>
      </c>
      <c r="F215" s="38"/>
      <c r="G215" s="26"/>
      <c r="H215" s="26">
        <f t="shared" si="40"/>
        <v>2000</v>
      </c>
      <c r="I215" s="48" t="s">
        <v>26</v>
      </c>
    </row>
    <row r="216" spans="1:9" s="6" customFormat="1" ht="31.5" customHeight="1" x14ac:dyDescent="0.2">
      <c r="A216" s="59"/>
      <c r="B216" s="25">
        <v>5</v>
      </c>
      <c r="C216" s="73" t="s">
        <v>75</v>
      </c>
      <c r="D216" s="26">
        <v>15000</v>
      </c>
      <c r="E216" s="26">
        <v>4050</v>
      </c>
      <c r="F216" s="38"/>
      <c r="G216" s="26"/>
      <c r="H216" s="26">
        <f t="shared" si="40"/>
        <v>19050</v>
      </c>
      <c r="I216" s="48" t="s">
        <v>26</v>
      </c>
    </row>
    <row r="217" spans="1:9" s="6" customFormat="1" ht="31.5" customHeight="1" x14ac:dyDescent="0.2">
      <c r="A217" s="59"/>
      <c r="B217" s="25">
        <v>6</v>
      </c>
      <c r="C217" s="73" t="s">
        <v>146</v>
      </c>
      <c r="D217" s="26">
        <v>28514</v>
      </c>
      <c r="E217" s="26">
        <v>7699</v>
      </c>
      <c r="F217" s="38"/>
      <c r="G217" s="26"/>
      <c r="H217" s="26">
        <f t="shared" ref="H217" si="41">SUM(D217:G217)</f>
        <v>36213</v>
      </c>
      <c r="I217" s="48" t="s">
        <v>26</v>
      </c>
    </row>
    <row r="218" spans="1:9" s="6" customFormat="1" ht="31.5" customHeight="1" x14ac:dyDescent="0.2">
      <c r="A218" s="59"/>
      <c r="B218" s="25">
        <v>7</v>
      </c>
      <c r="C218" s="73" t="s">
        <v>164</v>
      </c>
      <c r="D218" s="26">
        <v>26600</v>
      </c>
      <c r="E218" s="26">
        <v>7182</v>
      </c>
      <c r="F218" s="38"/>
      <c r="G218" s="26"/>
      <c r="H218" s="26">
        <f t="shared" si="40"/>
        <v>33782</v>
      </c>
      <c r="I218" s="48" t="s">
        <v>26</v>
      </c>
    </row>
    <row r="219" spans="1:9" ht="31.5" customHeight="1" x14ac:dyDescent="0.2">
      <c r="A219" s="62"/>
      <c r="B219" s="25">
        <v>8</v>
      </c>
      <c r="C219" s="73" t="s">
        <v>165</v>
      </c>
      <c r="D219" s="26">
        <v>35876</v>
      </c>
      <c r="E219" s="26">
        <v>9686</v>
      </c>
      <c r="F219" s="38"/>
      <c r="G219" s="26"/>
      <c r="H219" s="26">
        <f t="shared" si="40"/>
        <v>45562</v>
      </c>
      <c r="I219" s="48" t="s">
        <v>26</v>
      </c>
    </row>
    <row r="220" spans="1:9" ht="31.5" customHeight="1" x14ac:dyDescent="0.2">
      <c r="A220" s="62"/>
      <c r="B220" s="25">
        <v>9</v>
      </c>
      <c r="C220" s="73" t="s">
        <v>166</v>
      </c>
      <c r="D220" s="26">
        <f>8000-7873+3085</f>
        <v>3212</v>
      </c>
      <c r="E220" s="26">
        <f>2160-2126+834</f>
        <v>868</v>
      </c>
      <c r="F220" s="38"/>
      <c r="G220" s="26"/>
      <c r="H220" s="26">
        <f t="shared" si="40"/>
        <v>4080</v>
      </c>
      <c r="I220" s="48" t="s">
        <v>26</v>
      </c>
    </row>
    <row r="221" spans="1:9" ht="31.5" customHeight="1" x14ac:dyDescent="0.2">
      <c r="A221" s="62"/>
      <c r="B221" s="25">
        <v>10</v>
      </c>
      <c r="C221" s="73" t="s">
        <v>167</v>
      </c>
      <c r="D221" s="26">
        <f>7896-6000</f>
        <v>1896</v>
      </c>
      <c r="E221" s="26">
        <f>2132-1620</f>
        <v>512</v>
      </c>
      <c r="F221" s="38"/>
      <c r="G221" s="26"/>
      <c r="H221" s="26">
        <f t="shared" si="40"/>
        <v>2408</v>
      </c>
      <c r="I221" s="48" t="s">
        <v>26</v>
      </c>
    </row>
    <row r="222" spans="1:9" s="20" customFormat="1" ht="31.5" customHeight="1" x14ac:dyDescent="0.2">
      <c r="A222" s="70"/>
      <c r="B222" s="25">
        <v>11</v>
      </c>
      <c r="C222" s="73" t="s">
        <v>77</v>
      </c>
      <c r="D222" s="26">
        <f>39370-25000-4561</f>
        <v>9809</v>
      </c>
      <c r="E222" s="26">
        <f>10630-6750-1231</f>
        <v>2649</v>
      </c>
      <c r="F222" s="38"/>
      <c r="G222" s="26"/>
      <c r="H222" s="26">
        <f t="shared" si="40"/>
        <v>12458</v>
      </c>
      <c r="I222" s="48" t="s">
        <v>26</v>
      </c>
    </row>
    <row r="223" spans="1:9" s="9" customFormat="1" ht="31.5" customHeight="1" x14ac:dyDescent="0.2">
      <c r="A223" s="63"/>
      <c r="B223" s="25">
        <v>12</v>
      </c>
      <c r="C223" s="73" t="s">
        <v>81</v>
      </c>
      <c r="D223" s="26">
        <v>0</v>
      </c>
      <c r="E223" s="26">
        <v>0</v>
      </c>
      <c r="F223" s="38"/>
      <c r="G223" s="26"/>
      <c r="H223" s="26">
        <f t="shared" si="40"/>
        <v>0</v>
      </c>
      <c r="I223" s="48" t="s">
        <v>26</v>
      </c>
    </row>
    <row r="224" spans="1:9" ht="31.5" customHeight="1" x14ac:dyDescent="0.2">
      <c r="A224" s="62"/>
      <c r="B224" s="25">
        <v>13</v>
      </c>
      <c r="C224" s="73" t="s">
        <v>171</v>
      </c>
      <c r="D224" s="26">
        <f>15000+6299+14409+3937</f>
        <v>39645</v>
      </c>
      <c r="E224" s="26">
        <f>4050+1701+3891+1063</f>
        <v>10705</v>
      </c>
      <c r="F224" s="38"/>
      <c r="G224" s="26"/>
      <c r="H224" s="26">
        <f t="shared" si="40"/>
        <v>50350</v>
      </c>
      <c r="I224" s="48" t="s">
        <v>26</v>
      </c>
    </row>
    <row r="225" spans="1:9" ht="31.5" customHeight="1" x14ac:dyDescent="0.2">
      <c r="A225" s="62"/>
      <c r="B225" s="25">
        <v>14</v>
      </c>
      <c r="C225" s="73" t="s">
        <v>118</v>
      </c>
      <c r="D225" s="26">
        <v>0</v>
      </c>
      <c r="E225" s="26">
        <v>0</v>
      </c>
      <c r="F225" s="38"/>
      <c r="G225" s="26"/>
      <c r="H225" s="26">
        <f t="shared" si="40"/>
        <v>0</v>
      </c>
      <c r="I225" s="48" t="s">
        <v>26</v>
      </c>
    </row>
    <row r="226" spans="1:9" s="16" customFormat="1" ht="31.5" customHeight="1" x14ac:dyDescent="0.2">
      <c r="A226" s="63"/>
      <c r="B226" s="25">
        <v>15</v>
      </c>
      <c r="C226" s="73" t="s">
        <v>82</v>
      </c>
      <c r="D226" s="26">
        <v>0</v>
      </c>
      <c r="E226" s="26">
        <v>0</v>
      </c>
      <c r="F226" s="38"/>
      <c r="G226" s="26"/>
      <c r="H226" s="26">
        <f t="shared" ref="H226" si="42">SUM(D226:G226)</f>
        <v>0</v>
      </c>
      <c r="I226" s="48" t="s">
        <v>26</v>
      </c>
    </row>
    <row r="227" spans="1:9" s="9" customFormat="1" ht="31.5" customHeight="1" x14ac:dyDescent="0.2">
      <c r="A227" s="63"/>
      <c r="B227" s="83"/>
      <c r="C227" s="72" t="s">
        <v>120</v>
      </c>
      <c r="D227" s="26"/>
      <c r="E227" s="26"/>
      <c r="F227" s="38"/>
      <c r="G227" s="26"/>
      <c r="H227" s="6"/>
      <c r="I227" s="48"/>
    </row>
    <row r="228" spans="1:9" s="9" customFormat="1" ht="31.5" customHeight="1" x14ac:dyDescent="0.2">
      <c r="A228" s="63"/>
      <c r="B228" s="83">
        <v>16</v>
      </c>
      <c r="C228" s="73" t="s">
        <v>83</v>
      </c>
      <c r="D228" s="26">
        <v>1181</v>
      </c>
      <c r="E228" s="26">
        <v>319</v>
      </c>
      <c r="F228" s="38"/>
      <c r="G228" s="26"/>
      <c r="H228" s="26">
        <f t="shared" ref="H228" si="43">SUM(D228:G228)</f>
        <v>1500</v>
      </c>
      <c r="I228" s="48" t="s">
        <v>26</v>
      </c>
    </row>
    <row r="229" spans="1:9" s="9" customFormat="1" ht="31.5" customHeight="1" x14ac:dyDescent="0.2">
      <c r="A229" s="63"/>
      <c r="B229" s="83">
        <v>17</v>
      </c>
      <c r="C229" s="73" t="s">
        <v>168</v>
      </c>
      <c r="D229" s="26">
        <v>621</v>
      </c>
      <c r="E229" s="26">
        <v>168</v>
      </c>
      <c r="F229" s="38"/>
      <c r="G229" s="26"/>
      <c r="H229" s="26">
        <f t="shared" ref="H229" si="44">SUM(D229:G229)</f>
        <v>789</v>
      </c>
      <c r="I229" s="48" t="s">
        <v>26</v>
      </c>
    </row>
    <row r="230" spans="1:9" s="9" customFormat="1" ht="31.5" customHeight="1" thickBot="1" x14ac:dyDescent="0.25">
      <c r="A230" s="63"/>
      <c r="B230" s="83"/>
      <c r="C230" s="72" t="s">
        <v>121</v>
      </c>
      <c r="D230" s="26"/>
      <c r="E230" s="26"/>
      <c r="F230" s="38"/>
      <c r="G230" s="26"/>
      <c r="H230" s="6"/>
      <c r="I230" s="48"/>
    </row>
    <row r="231" spans="1:9" s="15" customFormat="1" ht="31.5" customHeight="1" thickBot="1" x14ac:dyDescent="0.25">
      <c r="A231" s="60"/>
      <c r="B231" s="83">
        <v>18</v>
      </c>
      <c r="C231" s="73" t="s">
        <v>24</v>
      </c>
      <c r="D231" s="26">
        <v>2000</v>
      </c>
      <c r="E231" s="26">
        <v>540</v>
      </c>
      <c r="F231" s="38"/>
      <c r="G231" s="26"/>
      <c r="H231" s="26">
        <f t="shared" ref="H231:H241" si="45">SUM(D231:G231)</f>
        <v>2540</v>
      </c>
      <c r="I231" s="48" t="s">
        <v>26</v>
      </c>
    </row>
    <row r="232" spans="1:9" s="8" customFormat="1" ht="38.25" thickBot="1" x14ac:dyDescent="0.25">
      <c r="A232" s="62"/>
      <c r="B232" s="25">
        <v>19</v>
      </c>
      <c r="C232" s="73" t="s">
        <v>162</v>
      </c>
      <c r="D232" s="6">
        <v>5882</v>
      </c>
      <c r="E232" s="6">
        <v>1588</v>
      </c>
      <c r="F232" s="1"/>
      <c r="G232" s="6"/>
      <c r="H232" s="26">
        <f t="shared" si="45"/>
        <v>7470</v>
      </c>
      <c r="I232" s="48" t="s">
        <v>26</v>
      </c>
    </row>
    <row r="233" spans="1:9" s="11" customFormat="1" ht="31.5" customHeight="1" x14ac:dyDescent="0.2">
      <c r="A233" s="63"/>
      <c r="B233" s="83">
        <v>20</v>
      </c>
      <c r="C233" s="73" t="s">
        <v>78</v>
      </c>
      <c r="D233" s="26">
        <v>23819</v>
      </c>
      <c r="E233" s="26">
        <v>6431</v>
      </c>
      <c r="F233" s="38"/>
      <c r="G233" s="26"/>
      <c r="H233" s="26">
        <f t="shared" si="45"/>
        <v>30250</v>
      </c>
      <c r="I233" s="48" t="s">
        <v>26</v>
      </c>
    </row>
    <row r="234" spans="1:9" s="10" customFormat="1" ht="31.5" customHeight="1" x14ac:dyDescent="0.2">
      <c r="A234" s="70"/>
      <c r="B234" s="25">
        <v>21</v>
      </c>
      <c r="C234" s="73" t="s">
        <v>79</v>
      </c>
      <c r="D234" s="26">
        <v>78740</v>
      </c>
      <c r="E234" s="26">
        <v>21260</v>
      </c>
      <c r="F234" s="38"/>
      <c r="G234" s="26"/>
      <c r="H234" s="26">
        <f t="shared" si="45"/>
        <v>100000</v>
      </c>
      <c r="I234" s="48" t="s">
        <v>26</v>
      </c>
    </row>
    <row r="235" spans="1:9" s="9" customFormat="1" ht="31.5" customHeight="1" x14ac:dyDescent="0.2">
      <c r="A235" s="63"/>
      <c r="B235" s="83">
        <v>22</v>
      </c>
      <c r="C235" s="73" t="s">
        <v>80</v>
      </c>
      <c r="D235" s="26">
        <v>7228</v>
      </c>
      <c r="E235" s="26">
        <v>1952</v>
      </c>
      <c r="F235" s="38"/>
      <c r="G235" s="26"/>
      <c r="H235" s="26">
        <f t="shared" si="45"/>
        <v>9180</v>
      </c>
      <c r="I235" s="48" t="s">
        <v>26</v>
      </c>
    </row>
    <row r="236" spans="1:9" s="9" customFormat="1" ht="31.5" customHeight="1" x14ac:dyDescent="0.2">
      <c r="A236" s="63"/>
      <c r="B236" s="25">
        <v>23</v>
      </c>
      <c r="C236" s="73" t="s">
        <v>76</v>
      </c>
      <c r="D236" s="26">
        <v>3937</v>
      </c>
      <c r="E236" s="26">
        <v>1063</v>
      </c>
      <c r="F236" s="38"/>
      <c r="G236" s="26"/>
      <c r="H236" s="26">
        <f t="shared" si="45"/>
        <v>5000</v>
      </c>
      <c r="I236" s="48" t="s">
        <v>26</v>
      </c>
    </row>
    <row r="237" spans="1:9" s="9" customFormat="1" ht="31.5" customHeight="1" x14ac:dyDescent="0.2">
      <c r="A237" s="63"/>
      <c r="B237" s="83">
        <v>24</v>
      </c>
      <c r="C237" s="73" t="s">
        <v>125</v>
      </c>
      <c r="D237" s="26">
        <v>1616</v>
      </c>
      <c r="E237" s="26">
        <v>436</v>
      </c>
      <c r="F237" s="38"/>
      <c r="G237" s="26"/>
      <c r="H237" s="26">
        <f t="shared" si="45"/>
        <v>2052</v>
      </c>
      <c r="I237" s="48" t="s">
        <v>26</v>
      </c>
    </row>
    <row r="238" spans="1:9" s="9" customFormat="1" ht="31.5" customHeight="1" x14ac:dyDescent="0.2">
      <c r="A238" s="63"/>
      <c r="B238" s="25">
        <v>25</v>
      </c>
      <c r="C238" s="73" t="s">
        <v>126</v>
      </c>
      <c r="D238" s="26">
        <v>232</v>
      </c>
      <c r="E238" s="26">
        <v>63</v>
      </c>
      <c r="F238" s="38"/>
      <c r="G238" s="26"/>
      <c r="H238" s="26">
        <f t="shared" si="45"/>
        <v>295</v>
      </c>
      <c r="I238" s="48" t="s">
        <v>26</v>
      </c>
    </row>
    <row r="239" spans="1:9" s="9" customFormat="1" ht="31.5" customHeight="1" x14ac:dyDescent="0.2">
      <c r="A239" s="63"/>
      <c r="B239" s="83">
        <v>26</v>
      </c>
      <c r="C239" s="73" t="s">
        <v>145</v>
      </c>
      <c r="D239" s="26">
        <v>1533</v>
      </c>
      <c r="E239" s="26">
        <v>414</v>
      </c>
      <c r="F239" s="38"/>
      <c r="G239" s="26"/>
      <c r="H239" s="26">
        <f t="shared" si="45"/>
        <v>1947</v>
      </c>
      <c r="I239" s="48" t="s">
        <v>26</v>
      </c>
    </row>
    <row r="240" spans="1:9" s="9" customFormat="1" ht="31.5" customHeight="1" x14ac:dyDescent="0.2">
      <c r="A240" s="63"/>
      <c r="B240" s="25">
        <v>27</v>
      </c>
      <c r="C240" s="73" t="s">
        <v>148</v>
      </c>
      <c r="D240" s="26">
        <v>2618</v>
      </c>
      <c r="E240" s="26"/>
      <c r="F240" s="38"/>
      <c r="G240" s="26"/>
      <c r="H240" s="26">
        <f t="shared" si="45"/>
        <v>2618</v>
      </c>
      <c r="I240" s="48" t="s">
        <v>26</v>
      </c>
    </row>
    <row r="241" spans="1:9" s="9" customFormat="1" ht="31.5" customHeight="1" x14ac:dyDescent="0.2">
      <c r="A241" s="63"/>
      <c r="B241" s="83">
        <v>28</v>
      </c>
      <c r="C241" s="73" t="s">
        <v>150</v>
      </c>
      <c r="D241" s="26">
        <v>126</v>
      </c>
      <c r="E241" s="26">
        <v>34</v>
      </c>
      <c r="F241" s="38"/>
      <c r="G241" s="26"/>
      <c r="H241" s="26">
        <f t="shared" si="45"/>
        <v>160</v>
      </c>
      <c r="I241" s="48" t="s">
        <v>26</v>
      </c>
    </row>
    <row r="242" spans="1:9" s="9" customFormat="1" ht="31.5" customHeight="1" x14ac:dyDescent="0.2">
      <c r="A242" s="63"/>
      <c r="B242" s="25">
        <v>29</v>
      </c>
      <c r="C242" s="73" t="s">
        <v>152</v>
      </c>
      <c r="D242" s="26">
        <v>56</v>
      </c>
      <c r="E242" s="26">
        <v>15</v>
      </c>
      <c r="F242" s="38"/>
      <c r="G242" s="26"/>
      <c r="H242" s="26">
        <f t="shared" ref="H242:H251" si="46">SUM(D242:G242)</f>
        <v>71</v>
      </c>
      <c r="I242" s="48" t="s">
        <v>26</v>
      </c>
    </row>
    <row r="243" spans="1:9" s="9" customFormat="1" ht="31.5" customHeight="1" x14ac:dyDescent="0.2">
      <c r="A243" s="63"/>
      <c r="B243" s="83">
        <v>30</v>
      </c>
      <c r="C243" s="73" t="s">
        <v>175</v>
      </c>
      <c r="D243" s="26">
        <v>1195</v>
      </c>
      <c r="E243" s="26">
        <v>323</v>
      </c>
      <c r="F243" s="38"/>
      <c r="G243" s="26"/>
      <c r="H243" s="26">
        <f t="shared" si="46"/>
        <v>1518</v>
      </c>
      <c r="I243" s="48" t="s">
        <v>26</v>
      </c>
    </row>
    <row r="244" spans="1:9" s="9" customFormat="1" ht="31.5" customHeight="1" x14ac:dyDescent="0.2">
      <c r="A244" s="63"/>
      <c r="B244" s="25">
        <v>31</v>
      </c>
      <c r="C244" s="73" t="s">
        <v>203</v>
      </c>
      <c r="D244" s="26">
        <v>345</v>
      </c>
      <c r="E244" s="26">
        <v>93</v>
      </c>
      <c r="F244" s="38"/>
      <c r="G244" s="26"/>
      <c r="H244" s="26">
        <f t="shared" si="46"/>
        <v>438</v>
      </c>
      <c r="I244" s="48" t="s">
        <v>26</v>
      </c>
    </row>
    <row r="245" spans="1:9" s="9" customFormat="1" ht="31.5" customHeight="1" x14ac:dyDescent="0.2">
      <c r="A245" s="63"/>
      <c r="B245" s="83">
        <v>32</v>
      </c>
      <c r="C245" s="73" t="s">
        <v>210</v>
      </c>
      <c r="D245" s="26">
        <v>4590</v>
      </c>
      <c r="E245" s="26">
        <v>1239</v>
      </c>
      <c r="F245" s="38"/>
      <c r="G245" s="26"/>
      <c r="H245" s="26">
        <f t="shared" si="46"/>
        <v>5829</v>
      </c>
      <c r="I245" s="48" t="s">
        <v>26</v>
      </c>
    </row>
    <row r="246" spans="1:9" s="9" customFormat="1" ht="31.5" customHeight="1" x14ac:dyDescent="0.2">
      <c r="A246" s="63"/>
      <c r="B246" s="83">
        <v>33</v>
      </c>
      <c r="C246" s="73" t="s">
        <v>187</v>
      </c>
      <c r="D246" s="26">
        <v>12598</v>
      </c>
      <c r="E246" s="26">
        <v>3402</v>
      </c>
      <c r="F246" s="38"/>
      <c r="G246" s="26"/>
      <c r="H246" s="26">
        <f t="shared" si="46"/>
        <v>16000</v>
      </c>
      <c r="I246" s="48" t="s">
        <v>26</v>
      </c>
    </row>
    <row r="247" spans="1:9" s="9" customFormat="1" ht="31.5" customHeight="1" x14ac:dyDescent="0.2">
      <c r="A247" s="63"/>
      <c r="B247" s="83">
        <v>34</v>
      </c>
      <c r="C247" s="121" t="s">
        <v>224</v>
      </c>
      <c r="D247" s="26"/>
      <c r="E247" s="26"/>
      <c r="F247" s="38">
        <v>1050</v>
      </c>
      <c r="G247" s="26">
        <v>284</v>
      </c>
      <c r="H247" s="26">
        <f t="shared" si="46"/>
        <v>1334</v>
      </c>
      <c r="I247" s="48" t="s">
        <v>26</v>
      </c>
    </row>
    <row r="248" spans="1:9" s="9" customFormat="1" ht="39" customHeight="1" x14ac:dyDescent="0.2">
      <c r="A248" s="63"/>
      <c r="B248" s="83">
        <v>35</v>
      </c>
      <c r="C248" s="73" t="s">
        <v>237</v>
      </c>
      <c r="D248" s="26"/>
      <c r="E248" s="26"/>
      <c r="F248" s="38">
        <v>170</v>
      </c>
      <c r="G248" s="26">
        <v>46</v>
      </c>
      <c r="H248" s="26">
        <f t="shared" si="46"/>
        <v>216</v>
      </c>
      <c r="I248" s="48" t="s">
        <v>26</v>
      </c>
    </row>
    <row r="249" spans="1:9" s="9" customFormat="1" ht="39.75" customHeight="1" x14ac:dyDescent="0.2">
      <c r="A249" s="63"/>
      <c r="B249" s="83">
        <v>36</v>
      </c>
      <c r="C249" s="77" t="s">
        <v>238</v>
      </c>
      <c r="D249" s="26"/>
      <c r="E249" s="26"/>
      <c r="F249" s="38">
        <v>354</v>
      </c>
      <c r="G249" s="26">
        <v>96</v>
      </c>
      <c r="H249" s="26">
        <f t="shared" si="46"/>
        <v>450</v>
      </c>
      <c r="I249" s="48" t="s">
        <v>26</v>
      </c>
    </row>
    <row r="250" spans="1:9" s="9" customFormat="1" ht="31.5" customHeight="1" x14ac:dyDescent="0.2">
      <c r="A250" s="63"/>
      <c r="B250" s="83">
        <v>37</v>
      </c>
      <c r="C250" s="121" t="s">
        <v>239</v>
      </c>
      <c r="D250" s="26"/>
      <c r="E250" s="26"/>
      <c r="F250" s="38">
        <v>8</v>
      </c>
      <c r="G250" s="26">
        <v>3</v>
      </c>
      <c r="H250" s="26">
        <f t="shared" si="46"/>
        <v>11</v>
      </c>
      <c r="I250" s="48" t="s">
        <v>26</v>
      </c>
    </row>
    <row r="251" spans="1:9" s="9" customFormat="1" ht="31.5" customHeight="1" thickBot="1" x14ac:dyDescent="0.25">
      <c r="A251" s="63"/>
      <c r="B251" s="83">
        <v>38</v>
      </c>
      <c r="C251" s="121" t="s">
        <v>240</v>
      </c>
      <c r="D251" s="26"/>
      <c r="E251" s="26"/>
      <c r="F251" s="38">
        <v>64</v>
      </c>
      <c r="G251" s="26">
        <v>17</v>
      </c>
      <c r="H251" s="26">
        <f t="shared" si="46"/>
        <v>81</v>
      </c>
      <c r="I251" s="48" t="s">
        <v>26</v>
      </c>
    </row>
    <row r="252" spans="1:9" s="6" customFormat="1" ht="31.5" customHeight="1" thickBot="1" x14ac:dyDescent="0.25">
      <c r="A252" s="64">
        <v>6404</v>
      </c>
      <c r="B252" s="91"/>
      <c r="C252" s="43" t="s">
        <v>241</v>
      </c>
      <c r="D252" s="29">
        <f>SUM(D211:D251)</f>
        <v>379189</v>
      </c>
      <c r="E252" s="29">
        <f t="shared" ref="E252:G252" si="47">SUM(E211:E251)</f>
        <v>101677</v>
      </c>
      <c r="F252" s="29">
        <f>SUM(F211:F251)</f>
        <v>1646</v>
      </c>
      <c r="G252" s="29">
        <f t="shared" si="47"/>
        <v>446</v>
      </c>
      <c r="H252" s="29">
        <f>SUM(H211:H251)</f>
        <v>482958</v>
      </c>
      <c r="I252" s="51"/>
    </row>
    <row r="253" spans="1:9" s="21" customFormat="1" ht="31.5" customHeight="1" thickBot="1" x14ac:dyDescent="0.25">
      <c r="A253" s="64">
        <v>9000</v>
      </c>
      <c r="B253" s="93"/>
      <c r="C253" s="75" t="s">
        <v>38</v>
      </c>
      <c r="D253" s="111"/>
      <c r="E253" s="111"/>
      <c r="F253" s="112"/>
      <c r="G253" s="111"/>
      <c r="H253" s="111"/>
      <c r="I253" s="56"/>
    </row>
    <row r="254" spans="1:9" s="6" customFormat="1" ht="31.5" customHeight="1" x14ac:dyDescent="0.2">
      <c r="A254" s="58">
        <v>9100</v>
      </c>
      <c r="B254" s="25"/>
      <c r="C254" s="71" t="s">
        <v>39</v>
      </c>
      <c r="D254" s="26"/>
      <c r="E254" s="26"/>
      <c r="F254" s="38"/>
      <c r="G254" s="26"/>
      <c r="H254" s="26"/>
      <c r="I254" s="48"/>
    </row>
    <row r="255" spans="1:9" s="6" customFormat="1" ht="40.5" customHeight="1" x14ac:dyDescent="0.2">
      <c r="A255" s="62">
        <v>9128</v>
      </c>
      <c r="B255" s="25">
        <v>1</v>
      </c>
      <c r="C255" s="73" t="s">
        <v>40</v>
      </c>
      <c r="D255" s="26">
        <v>30647</v>
      </c>
      <c r="E255" s="26">
        <v>8275</v>
      </c>
      <c r="F255" s="38"/>
      <c r="G255" s="26"/>
      <c r="H255" s="26">
        <f t="shared" ref="H255:H258" si="48">SUM(D255:G255)</f>
        <v>38922</v>
      </c>
      <c r="I255" s="48" t="s">
        <v>33</v>
      </c>
    </row>
    <row r="256" spans="1:9" s="6" customFormat="1" ht="40.5" customHeight="1" x14ac:dyDescent="0.2">
      <c r="A256" s="62">
        <v>9128</v>
      </c>
      <c r="B256" s="25">
        <v>2</v>
      </c>
      <c r="C256" s="73" t="s">
        <v>141</v>
      </c>
      <c r="D256" s="26">
        <v>560</v>
      </c>
      <c r="E256" s="26">
        <v>0</v>
      </c>
      <c r="F256" s="38"/>
      <c r="G256" s="26"/>
      <c r="H256" s="26">
        <f t="shared" si="48"/>
        <v>560</v>
      </c>
      <c r="I256" s="48" t="s">
        <v>33</v>
      </c>
    </row>
    <row r="257" spans="1:9" s="6" customFormat="1" ht="40.5" customHeight="1" x14ac:dyDescent="0.2">
      <c r="A257" s="62">
        <v>9128</v>
      </c>
      <c r="B257" s="25">
        <v>3</v>
      </c>
      <c r="C257" s="73" t="s">
        <v>134</v>
      </c>
      <c r="D257" s="26">
        <f>1969-409</f>
        <v>1560</v>
      </c>
      <c r="E257" s="26">
        <f>531-111</f>
        <v>420</v>
      </c>
      <c r="F257" s="38">
        <f>-277-15</f>
        <v>-292</v>
      </c>
      <c r="G257" s="26">
        <f>-75-4</f>
        <v>-79</v>
      </c>
      <c r="H257" s="26">
        <f t="shared" si="48"/>
        <v>1609</v>
      </c>
      <c r="I257" s="48" t="s">
        <v>33</v>
      </c>
    </row>
    <row r="258" spans="1:9" s="6" customFormat="1" ht="31.5" customHeight="1" thickBot="1" x14ac:dyDescent="0.25">
      <c r="A258" s="62">
        <v>9133</v>
      </c>
      <c r="B258" s="25">
        <v>4</v>
      </c>
      <c r="C258" s="73" t="s">
        <v>247</v>
      </c>
      <c r="D258" s="26">
        <f>25433-4594</f>
        <v>20839</v>
      </c>
      <c r="E258" s="26">
        <f>6867-1241</f>
        <v>5626</v>
      </c>
      <c r="F258" s="38"/>
      <c r="G258" s="26"/>
      <c r="H258" s="26">
        <f t="shared" si="48"/>
        <v>26465</v>
      </c>
      <c r="I258" s="48" t="s">
        <v>26</v>
      </c>
    </row>
    <row r="259" spans="1:9" s="6" customFormat="1" ht="31.5" customHeight="1" thickBot="1" x14ac:dyDescent="0.25">
      <c r="A259" s="64">
        <v>9100</v>
      </c>
      <c r="B259" s="93"/>
      <c r="C259" s="75" t="s">
        <v>95</v>
      </c>
      <c r="D259" s="29">
        <f>SUM(D255:D258)</f>
        <v>53606</v>
      </c>
      <c r="E259" s="29">
        <f>SUM(E255:E258)</f>
        <v>14321</v>
      </c>
      <c r="F259" s="41">
        <f>SUM(F255:F258)</f>
        <v>-292</v>
      </c>
      <c r="G259" s="29">
        <f>SUM(G255:G258)</f>
        <v>-79</v>
      </c>
      <c r="H259" s="29">
        <f>SUM(H255:H258)</f>
        <v>67556</v>
      </c>
      <c r="I259" s="56"/>
    </row>
    <row r="260" spans="1:9" s="6" customFormat="1" ht="31.5" customHeight="1" x14ac:dyDescent="0.2">
      <c r="A260" s="58">
        <v>9200</v>
      </c>
      <c r="B260" s="25"/>
      <c r="C260" s="71" t="s">
        <v>85</v>
      </c>
      <c r="D260" s="30"/>
      <c r="E260" s="30"/>
      <c r="F260" s="42"/>
      <c r="G260" s="30"/>
      <c r="H260" s="30"/>
      <c r="I260" s="48"/>
    </row>
    <row r="261" spans="1:9" s="6" customFormat="1" ht="41.25" customHeight="1" x14ac:dyDescent="0.2">
      <c r="A261" s="62">
        <v>9207</v>
      </c>
      <c r="B261" s="83">
        <v>1</v>
      </c>
      <c r="C261" s="73" t="s">
        <v>248</v>
      </c>
      <c r="D261" s="26">
        <v>9450</v>
      </c>
      <c r="E261" s="26">
        <v>2551</v>
      </c>
      <c r="F261" s="38"/>
      <c r="G261" s="26"/>
      <c r="H261" s="26">
        <f t="shared" ref="H261:H262" si="49">SUM(D261:G261)</f>
        <v>12001</v>
      </c>
      <c r="I261" s="48" t="s">
        <v>26</v>
      </c>
    </row>
    <row r="262" spans="1:9" s="6" customFormat="1" ht="39.75" customHeight="1" thickBot="1" x14ac:dyDescent="0.25">
      <c r="A262" s="62">
        <v>9208</v>
      </c>
      <c r="B262" s="83">
        <v>2</v>
      </c>
      <c r="C262" s="73" t="s">
        <v>250</v>
      </c>
      <c r="D262" s="26"/>
      <c r="E262" s="26"/>
      <c r="F262" s="38">
        <f>6557</f>
        <v>6557</v>
      </c>
      <c r="G262" s="26">
        <f>1771</f>
        <v>1771</v>
      </c>
      <c r="H262" s="26">
        <f t="shared" si="49"/>
        <v>8328</v>
      </c>
      <c r="I262" s="48" t="s">
        <v>26</v>
      </c>
    </row>
    <row r="263" spans="1:9" s="6" customFormat="1" ht="31.5" customHeight="1" thickBot="1" x14ac:dyDescent="0.25">
      <c r="A263" s="64">
        <v>9200</v>
      </c>
      <c r="B263" s="94"/>
      <c r="C263" s="75" t="s">
        <v>249</v>
      </c>
      <c r="D263" s="29">
        <f>SUM(D261:D262)</f>
        <v>9450</v>
      </c>
      <c r="E263" s="29">
        <f t="shared" ref="E263:H263" si="50">SUM(E261:E262)</f>
        <v>2551</v>
      </c>
      <c r="F263" s="29">
        <f t="shared" si="50"/>
        <v>6557</v>
      </c>
      <c r="G263" s="29">
        <f t="shared" si="50"/>
        <v>1771</v>
      </c>
      <c r="H263" s="29">
        <f t="shared" si="50"/>
        <v>20329</v>
      </c>
      <c r="I263" s="56"/>
    </row>
    <row r="264" spans="1:9" ht="31.5" customHeight="1" thickBot="1" x14ac:dyDescent="0.25">
      <c r="A264" s="64">
        <v>9000</v>
      </c>
      <c r="B264" s="25"/>
      <c r="C264" s="75" t="s">
        <v>119</v>
      </c>
      <c r="D264" s="31">
        <f>D259+D263</f>
        <v>63056</v>
      </c>
      <c r="E264" s="31">
        <f>E259+E263</f>
        <v>16872</v>
      </c>
      <c r="F264" s="43">
        <f>F259+F263</f>
        <v>6265</v>
      </c>
      <c r="G264" s="31">
        <f>G259+G263</f>
        <v>1692</v>
      </c>
      <c r="H264" s="31">
        <f>H259+H263</f>
        <v>87885</v>
      </c>
      <c r="I264" s="56"/>
    </row>
    <row r="265" spans="1:9" ht="31.5" customHeight="1" thickBot="1" x14ac:dyDescent="0.25">
      <c r="A265" s="64"/>
      <c r="B265" s="86"/>
      <c r="C265" s="75" t="s">
        <v>23</v>
      </c>
      <c r="D265" s="29">
        <f>SUM(D121,D144,D209,D252,D264)</f>
        <v>732545</v>
      </c>
      <c r="E265" s="29">
        <f>SUM(E121,E144,E209,E252,E264)</f>
        <v>196939</v>
      </c>
      <c r="F265" s="29">
        <f>SUM(F121,F144,F209,F252,F264)</f>
        <v>-26589</v>
      </c>
      <c r="G265" s="29">
        <f>SUM(G121,G144,G209,G252,G264)</f>
        <v>-7171</v>
      </c>
      <c r="H265" s="29">
        <f>SUM(H121,H144,H209,H252,H264)</f>
        <v>895724</v>
      </c>
      <c r="I265" s="51"/>
    </row>
    <row r="266" spans="1:9" s="6" customFormat="1" x14ac:dyDescent="0.2">
      <c r="B266" s="1"/>
      <c r="C266" s="7"/>
      <c r="E266" s="1"/>
      <c r="F266" s="1"/>
      <c r="G266" s="1"/>
      <c r="H266" s="1"/>
      <c r="I266" s="19"/>
    </row>
  </sheetData>
  <mergeCells count="11">
    <mergeCell ref="A1:I1"/>
    <mergeCell ref="A2:I2"/>
    <mergeCell ref="A6:A9"/>
    <mergeCell ref="C6:C9"/>
    <mergeCell ref="D6:D9"/>
    <mergeCell ref="I6:I9"/>
    <mergeCell ref="B6:B9"/>
    <mergeCell ref="F6:F9"/>
    <mergeCell ref="G6:G9"/>
    <mergeCell ref="H6:H9"/>
    <mergeCell ref="E6:E9"/>
  </mergeCells>
  <printOptions horizontalCentered="1"/>
  <pageMargins left="0.19685039370078741" right="0.19685039370078741" top="0.59055118110236227" bottom="0.51181102362204722" header="7.874015748031496E-2" footer="0.11811023622047245"/>
  <pageSetup paperSize="9" scale="44" fitToHeight="10" orientation="portrait" horizontalDpi="2400" verticalDpi="2400" r:id="rId1"/>
  <headerFooter alignWithMargins="0">
    <oddHeader>&amp;R&amp;14  &amp;15 &amp;11 16. melléklet</oddHeader>
  </headerFooter>
  <rowBreaks count="2" manualBreakCount="2">
    <brk id="214" max="8" man="1"/>
    <brk id="25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átrendezve</vt:lpstr>
      <vt:lpstr>átrendezve!Nyomtatási_cím</vt:lpstr>
      <vt:lpstr>átrendezve!Nyomtatási_terület</vt:lpstr>
    </vt:vector>
  </TitlesOfParts>
  <Company>Othon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Sipos Tamás</dc:creator>
  <cp:lastModifiedBy>Baranyi Genaro</cp:lastModifiedBy>
  <cp:lastPrinted>2025-01-30T14:03:06Z</cp:lastPrinted>
  <dcterms:created xsi:type="dcterms:W3CDTF">2001-02-22T21:43:56Z</dcterms:created>
  <dcterms:modified xsi:type="dcterms:W3CDTF">2025-02-03T14:38:36Z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C1DDA">
    <vt:lpwstr/>
  </property>
  <property fmtid="{D5CDD505-2E9C-101B-9397-08002B2CF9AE}" pid="19" name="IVID12E92D80">
    <vt:lpwstr/>
  </property>
  <property fmtid="{D5CDD505-2E9C-101B-9397-08002B2CF9AE}" pid="20" name="IVID5CB0C33C">
    <vt:lpwstr/>
  </property>
  <property fmtid="{D5CDD505-2E9C-101B-9397-08002B2CF9AE}" pid="21" name="IVID94418A33">
    <vt:lpwstr/>
  </property>
  <property fmtid="{D5CDD505-2E9C-101B-9397-08002B2CF9AE}" pid="22" name="IVIDBA382F20">
    <vt:lpwstr/>
  </property>
  <property fmtid="{D5CDD505-2E9C-101B-9397-08002B2CF9AE}" pid="23" name="IVID3C3017EE">
    <vt:lpwstr/>
  </property>
  <property fmtid="{D5CDD505-2E9C-101B-9397-08002B2CF9AE}" pid="24" name="IVID2C3868B8">
    <vt:lpwstr/>
  </property>
  <property fmtid="{D5CDD505-2E9C-101B-9397-08002B2CF9AE}" pid="25" name="IVID634BD16">
    <vt:lpwstr/>
  </property>
  <property fmtid="{D5CDD505-2E9C-101B-9397-08002B2CF9AE}" pid="26" name="IVIDF837710C">
    <vt:lpwstr/>
  </property>
  <property fmtid="{D5CDD505-2E9C-101B-9397-08002B2CF9AE}" pid="27" name="IVID245D14E1">
    <vt:lpwstr/>
  </property>
  <property fmtid="{D5CDD505-2E9C-101B-9397-08002B2CF9AE}" pid="28" name="IVIDBC414E9C">
    <vt:lpwstr/>
  </property>
  <property fmtid="{D5CDD505-2E9C-101B-9397-08002B2CF9AE}" pid="29" name="IVID4C8F7C78">
    <vt:lpwstr/>
  </property>
  <property fmtid="{D5CDD505-2E9C-101B-9397-08002B2CF9AE}" pid="30" name="IVID834BA27">
    <vt:lpwstr/>
  </property>
  <property fmtid="{D5CDD505-2E9C-101B-9397-08002B2CF9AE}" pid="31" name="IVID3D2412FB">
    <vt:lpwstr/>
  </property>
  <property fmtid="{D5CDD505-2E9C-101B-9397-08002B2CF9AE}" pid="32" name="IVID307C7F20">
    <vt:lpwstr/>
  </property>
  <property fmtid="{D5CDD505-2E9C-101B-9397-08002B2CF9AE}" pid="33" name="IVID10A1A0C3">
    <vt:lpwstr/>
  </property>
  <property fmtid="{D5CDD505-2E9C-101B-9397-08002B2CF9AE}" pid="34" name="IVID84D77F24">
    <vt:lpwstr/>
  </property>
  <property fmtid="{D5CDD505-2E9C-101B-9397-08002B2CF9AE}" pid="35" name="IVID54462993">
    <vt:lpwstr/>
  </property>
  <property fmtid="{D5CDD505-2E9C-101B-9397-08002B2CF9AE}" pid="36" name="IVID282516E3">
    <vt:lpwstr/>
  </property>
  <property fmtid="{D5CDD505-2E9C-101B-9397-08002B2CF9AE}" pid="37" name="IVID3C3D13DE">
    <vt:lpwstr/>
  </property>
  <property fmtid="{D5CDD505-2E9C-101B-9397-08002B2CF9AE}" pid="38" name="IVID443013D6">
    <vt:lpwstr/>
  </property>
  <property fmtid="{D5CDD505-2E9C-101B-9397-08002B2CF9AE}" pid="39" name="IVID28621700">
    <vt:lpwstr/>
  </property>
  <property fmtid="{D5CDD505-2E9C-101B-9397-08002B2CF9AE}" pid="40" name="IVID273D15DD">
    <vt:lpwstr/>
  </property>
  <property fmtid="{D5CDD505-2E9C-101B-9397-08002B2CF9AE}" pid="41" name="IVID276411F6">
    <vt:lpwstr/>
  </property>
  <property fmtid="{D5CDD505-2E9C-101B-9397-08002B2CF9AE}" pid="42" name="IVID366C1B04">
    <vt:lpwstr/>
  </property>
  <property fmtid="{D5CDD505-2E9C-101B-9397-08002B2CF9AE}" pid="43" name="IVID386618F5">
    <vt:lpwstr/>
  </property>
  <property fmtid="{D5CDD505-2E9C-101B-9397-08002B2CF9AE}" pid="44" name="IVID2E4416F6">
    <vt:lpwstr/>
  </property>
  <property fmtid="{D5CDD505-2E9C-101B-9397-08002B2CF9AE}" pid="45" name="IVID3C4114D5">
    <vt:lpwstr/>
  </property>
  <property fmtid="{D5CDD505-2E9C-101B-9397-08002B2CF9AE}" pid="46" name="IVID2D5219E2">
    <vt:lpwstr/>
  </property>
  <property fmtid="{D5CDD505-2E9C-101B-9397-08002B2CF9AE}" pid="47" name="IVID1B7510E8">
    <vt:lpwstr/>
  </property>
  <property fmtid="{D5CDD505-2E9C-101B-9397-08002B2CF9AE}" pid="48" name="IVIDF0512FF">
    <vt:lpwstr/>
  </property>
  <property fmtid="{D5CDD505-2E9C-101B-9397-08002B2CF9AE}" pid="49" name="IVID1F5E15E5">
    <vt:lpwstr/>
  </property>
</Properties>
</file>