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Józsa Ágnes\Documents\"/>
    </mc:Choice>
  </mc:AlternateContent>
  <xr:revisionPtr revIDLastSave="0" documentId="13_ncr:1_{0D1D64D6-910E-43A7-9828-12293DC4761A}" xr6:coauthVersionLast="47" xr6:coauthVersionMax="47" xr10:uidLastSave="{00000000-0000-0000-0000-000000000000}"/>
  <bookViews>
    <workbookView xWindow="-120" yWindow="-120" windowWidth="29040" windowHeight="15840" firstSheet="3" activeTab="4" xr2:uid="{00000000-000D-0000-FFFF-FFFF00000000}"/>
  </bookViews>
  <sheets>
    <sheet name="Takarított terület 2021." sheetId="3" state="hidden" r:id="rId1"/>
    <sheet name="TAKARÍTOTT terület 2022." sheetId="6" state="hidden" r:id="rId2"/>
    <sheet name="HULLADÉK (bontásban) 2022." sheetId="7" state="hidden" r:id="rId3"/>
    <sheet name="TAKARÍTOTT terület 2024." sheetId="8" r:id="rId4"/>
    <sheet name="HULLADÉK (bontásban) 2024." sheetId="9" r:id="rId5"/>
    <sheet name="Gépek üzemeltetése 2020." sheetId="4" state="hidden" r:id="rId6"/>
    <sheet name="Mosók üzemeltetése 2020." sheetId="5" state="hidden" r:id="rId7"/>
  </sheets>
  <definedNames>
    <definedName name="_xlnm.Print_Area" localSheetId="5">'Gépek üzemeltetése 2020.'!$A$1:$M$16</definedName>
    <definedName name="_xlnm.Print_Area" localSheetId="2">'HULLADÉK (bontásban) 2022.'!$B$3:$P$11</definedName>
    <definedName name="_xlnm.Print_Area" localSheetId="4">'HULLADÉK (bontásban) 2024.'!$B$2:$AD$14</definedName>
    <definedName name="_xlnm.Print_Area" localSheetId="6">'Mosók üzemeltetése 2020.'!$A$1:$M$16</definedName>
    <definedName name="_xlnm.Print_Area" localSheetId="0">'Takarított terület 2021.'!$A$2:$P$50</definedName>
    <definedName name="_xlnm.Print_Area" localSheetId="1">'TAKARÍTOTT terület 2022.'!$A$2:$P$50</definedName>
    <definedName name="_xlnm.Print_Area" localSheetId="3">'TAKARÍTOTT terület 2024.'!$A$2:$P$25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8" i="9" l="1"/>
  <c r="AD8" i="9" s="1"/>
  <c r="O16" i="8"/>
  <c r="P16" i="8" s="1"/>
  <c r="O15" i="8"/>
  <c r="O13" i="8"/>
  <c r="O11" i="8"/>
  <c r="O6" i="8"/>
  <c r="N19" i="8"/>
  <c r="M19" i="8"/>
  <c r="L19" i="8"/>
  <c r="O14" i="8"/>
  <c r="P14" i="8" s="1"/>
  <c r="Z7" i="9"/>
  <c r="Z8" i="9"/>
  <c r="Z9" i="9"/>
  <c r="Z10" i="9"/>
  <c r="Z6" i="9"/>
  <c r="X8" i="9"/>
  <c r="X9" i="9"/>
  <c r="X10" i="9"/>
  <c r="X6" i="9"/>
  <c r="V7" i="9"/>
  <c r="V9" i="9"/>
  <c r="V10" i="9"/>
  <c r="V6" i="9"/>
  <c r="T6" i="9"/>
  <c r="T7" i="9"/>
  <c r="T9" i="9"/>
  <c r="T10" i="9"/>
  <c r="R9" i="9"/>
  <c r="R8" i="9"/>
  <c r="R7" i="9"/>
  <c r="R10" i="9"/>
  <c r="R6" i="9"/>
  <c r="P8" i="9"/>
  <c r="P7" i="9"/>
  <c r="P9" i="9"/>
  <c r="P10" i="9"/>
  <c r="P6" i="9"/>
  <c r="N7" i="9"/>
  <c r="AC7" i="9" s="1"/>
  <c r="AD7" i="9" s="1"/>
  <c r="N8" i="9"/>
  <c r="N9" i="9"/>
  <c r="N10" i="9"/>
  <c r="L10" i="9"/>
  <c r="L8" i="9"/>
  <c r="L7" i="9"/>
  <c r="L9" i="9"/>
  <c r="L6" i="9"/>
  <c r="AC6" i="9" s="1"/>
  <c r="AD6" i="9" s="1"/>
  <c r="J9" i="9"/>
  <c r="AC9" i="9" s="1"/>
  <c r="AD9" i="9" s="1"/>
  <c r="J10" i="9"/>
  <c r="AC10" i="9" s="1"/>
  <c r="AD10" i="9" s="1"/>
  <c r="AD11" i="9" l="1"/>
  <c r="N11" i="9"/>
  <c r="D11" i="9"/>
  <c r="P11" i="8" l="1"/>
  <c r="G7" i="9" l="1"/>
  <c r="G8" i="9"/>
  <c r="G9" i="9"/>
  <c r="G10" i="9"/>
  <c r="G6" i="9"/>
  <c r="E7" i="9"/>
  <c r="E8" i="9"/>
  <c r="E9" i="9"/>
  <c r="E10" i="9"/>
  <c r="E6" i="9"/>
  <c r="C7" i="9"/>
  <c r="AA7" i="9" s="1"/>
  <c r="C8" i="9"/>
  <c r="C9" i="9"/>
  <c r="C10" i="9"/>
  <c r="C6" i="9"/>
  <c r="AA6" i="9" s="1"/>
  <c r="AA10" i="9" l="1"/>
  <c r="AA8" i="9"/>
  <c r="AB8" i="9" s="1"/>
  <c r="AA9" i="9"/>
  <c r="AB9" i="9" s="1"/>
  <c r="AB6" i="9"/>
  <c r="AB7" i="9"/>
  <c r="AB10" i="9"/>
  <c r="K12" i="8"/>
  <c r="K10" i="8"/>
  <c r="K9" i="8"/>
  <c r="K8" i="8"/>
  <c r="K7" i="8"/>
  <c r="K5" i="8"/>
  <c r="K4" i="8"/>
  <c r="J12" i="8"/>
  <c r="J10" i="8"/>
  <c r="J9" i="8"/>
  <c r="J8" i="8"/>
  <c r="J7" i="8"/>
  <c r="J5" i="8"/>
  <c r="J4" i="8"/>
  <c r="O11" i="9"/>
  <c r="I12" i="8"/>
  <c r="I10" i="8"/>
  <c r="I9" i="8"/>
  <c r="I8" i="8"/>
  <c r="I7" i="8"/>
  <c r="I5" i="8"/>
  <c r="I4" i="8"/>
  <c r="H12" i="8"/>
  <c r="H10" i="8"/>
  <c r="H9" i="8"/>
  <c r="H8" i="8"/>
  <c r="H7" i="8"/>
  <c r="H5" i="8"/>
  <c r="H4" i="8"/>
  <c r="G12" i="8"/>
  <c r="G10" i="8"/>
  <c r="G9" i="8"/>
  <c r="G8" i="8"/>
  <c r="G7" i="8"/>
  <c r="G5" i="8"/>
  <c r="G4" i="8"/>
  <c r="F12" i="8"/>
  <c r="F10" i="8"/>
  <c r="F9" i="8"/>
  <c r="F8" i="8"/>
  <c r="F5" i="8"/>
  <c r="E12" i="8"/>
  <c r="E10" i="8"/>
  <c r="E9" i="8"/>
  <c r="E8" i="8"/>
  <c r="E5" i="8"/>
  <c r="D12" i="8"/>
  <c r="D10" i="8"/>
  <c r="D9" i="8"/>
  <c r="D8" i="8"/>
  <c r="D7" i="8"/>
  <c r="D5" i="8"/>
  <c r="E19" i="8" l="1"/>
  <c r="I19" i="8"/>
  <c r="J19" i="8"/>
  <c r="H19" i="8"/>
  <c r="D19" i="8"/>
  <c r="G19" i="8"/>
  <c r="F19" i="8"/>
  <c r="K19" i="8"/>
  <c r="C12" i="8"/>
  <c r="C9" i="8"/>
  <c r="C10" i="8"/>
  <c r="C8" i="8"/>
  <c r="C7" i="8"/>
  <c r="C5" i="8"/>
  <c r="C4" i="8"/>
  <c r="O4" i="8" l="1"/>
  <c r="C19" i="8"/>
  <c r="O10" i="8"/>
  <c r="P10" i="8" s="1"/>
  <c r="O5" i="8"/>
  <c r="P5" i="8" s="1"/>
  <c r="O9" i="8"/>
  <c r="P9" i="8" s="1"/>
  <c r="O7" i="8"/>
  <c r="P7" i="8" s="1"/>
  <c r="O12" i="8"/>
  <c r="P12" i="8" s="1"/>
  <c r="O8" i="8"/>
  <c r="P8" i="8" s="1"/>
  <c r="P4" i="8"/>
  <c r="O19" i="8" l="1"/>
  <c r="P15" i="8"/>
  <c r="Y11" i="9"/>
  <c r="W11" i="9" l="1"/>
  <c r="U11" i="9" l="1"/>
  <c r="T11" i="9" l="1"/>
  <c r="R11" i="9" l="1"/>
  <c r="P11" i="9" l="1"/>
  <c r="L11" i="9"/>
  <c r="J11" i="9"/>
  <c r="H11" i="9"/>
  <c r="F11" i="9"/>
  <c r="AC11" i="9" l="1"/>
  <c r="Z11" i="9"/>
  <c r="X11" i="9"/>
  <c r="V11" i="9"/>
  <c r="S11" i="9"/>
  <c r="Q11" i="9"/>
  <c r="M11" i="9"/>
  <c r="K11" i="9"/>
  <c r="I11" i="9"/>
  <c r="G11" i="9"/>
  <c r="E11" i="9"/>
  <c r="C11" i="9"/>
  <c r="O20" i="8"/>
  <c r="M21" i="8"/>
  <c r="L21" i="8"/>
  <c r="K21" i="8"/>
  <c r="J21" i="8"/>
  <c r="I21" i="8"/>
  <c r="H21" i="8"/>
  <c r="G21" i="8"/>
  <c r="F21" i="8"/>
  <c r="E21" i="8"/>
  <c r="D21" i="8"/>
  <c r="C21" i="8"/>
  <c r="O21" i="8" s="1"/>
  <c r="P18" i="8"/>
  <c r="O17" i="8"/>
  <c r="P17" i="8" s="1"/>
  <c r="P13" i="8"/>
  <c r="P19" i="8" s="1"/>
  <c r="P6" i="8"/>
  <c r="AA11" i="9" l="1"/>
  <c r="AB11" i="9" s="1"/>
  <c r="N21" i="8"/>
  <c r="N11" i="7"/>
  <c r="C19" i="6"/>
  <c r="P14" i="6"/>
  <c r="O16" i="6"/>
  <c r="P16" i="6" s="1"/>
  <c r="O15" i="6"/>
  <c r="P15" i="6" s="1"/>
  <c r="O14" i="6"/>
  <c r="O13" i="6"/>
  <c r="P13" i="6" s="1"/>
  <c r="O12" i="6"/>
  <c r="P12" i="6" s="1"/>
  <c r="O11" i="6"/>
  <c r="P11" i="6" s="1"/>
  <c r="O10" i="6"/>
  <c r="P10" i="6" s="1"/>
  <c r="O9" i="6"/>
  <c r="P9" i="6" s="1"/>
  <c r="O8" i="6"/>
  <c r="P8" i="6" s="1"/>
  <c r="O7" i="6"/>
  <c r="P7" i="6" s="1"/>
  <c r="O5" i="6"/>
  <c r="P5" i="6" s="1"/>
  <c r="O4" i="6"/>
  <c r="P4" i="6" s="1"/>
  <c r="N19" i="6"/>
  <c r="M19" i="6"/>
  <c r="L19" i="6"/>
  <c r="K19" i="6"/>
  <c r="J19" i="6"/>
  <c r="I19" i="6"/>
  <c r="H19" i="6"/>
  <c r="G19" i="6"/>
  <c r="F19" i="6"/>
  <c r="E19" i="6"/>
  <c r="D19" i="6"/>
  <c r="O6" i="6"/>
  <c r="P6" i="6" s="1"/>
  <c r="O53" i="6"/>
  <c r="O54" i="6"/>
  <c r="O52" i="6"/>
  <c r="P52" i="6" l="1"/>
  <c r="P21" i="8"/>
  <c r="O19" i="6"/>
  <c r="P19" i="6" s="1"/>
  <c r="M11" i="7" l="1"/>
  <c r="L11" i="7"/>
  <c r="O7" i="7" l="1"/>
  <c r="P7" i="7" s="1"/>
  <c r="O8" i="7"/>
  <c r="P8" i="7" s="1"/>
  <c r="O9" i="7"/>
  <c r="P9" i="7" s="1"/>
  <c r="O10" i="7"/>
  <c r="P10" i="7" s="1"/>
  <c r="O6" i="7"/>
  <c r="P6" i="7" s="1"/>
  <c r="K11" i="7"/>
  <c r="J11" i="7" l="1"/>
  <c r="I11" i="7" l="1"/>
  <c r="H11" i="7" l="1"/>
  <c r="G11" i="7" l="1"/>
  <c r="F11" i="7" l="1"/>
  <c r="E11" i="7" l="1"/>
  <c r="D11" i="7" l="1"/>
  <c r="F19" i="3" l="1"/>
  <c r="C19" i="3"/>
  <c r="C11" i="7"/>
  <c r="O11" i="7" s="1"/>
  <c r="P11" i="7" s="1"/>
  <c r="O44" i="6" l="1"/>
  <c r="N43" i="6"/>
  <c r="M43" i="6"/>
  <c r="L43" i="6"/>
  <c r="K43" i="6"/>
  <c r="J43" i="6"/>
  <c r="I43" i="6"/>
  <c r="H43" i="6"/>
  <c r="G43" i="6"/>
  <c r="F43" i="6"/>
  <c r="E43" i="6"/>
  <c r="C43" i="6"/>
  <c r="O42" i="6"/>
  <c r="O41" i="6"/>
  <c r="O40" i="6"/>
  <c r="N39" i="6"/>
  <c r="M39" i="6"/>
  <c r="L39" i="6"/>
  <c r="K39" i="6"/>
  <c r="J39" i="6"/>
  <c r="I39" i="6"/>
  <c r="H39" i="6"/>
  <c r="G39" i="6"/>
  <c r="F39" i="6"/>
  <c r="E39" i="6"/>
  <c r="N38" i="6"/>
  <c r="M38" i="6"/>
  <c r="L38" i="6"/>
  <c r="K38" i="6"/>
  <c r="J38" i="6"/>
  <c r="I38" i="6"/>
  <c r="H38" i="6"/>
  <c r="G38" i="6"/>
  <c r="F38" i="6"/>
  <c r="E38" i="6"/>
  <c r="C38" i="6"/>
  <c r="O37" i="6"/>
  <c r="O36" i="6"/>
  <c r="O38" i="6" s="1"/>
  <c r="N35" i="6"/>
  <c r="M35" i="6"/>
  <c r="C35" i="6"/>
  <c r="P34" i="6"/>
  <c r="M34" i="6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O33" i="6"/>
  <c r="E33" i="6"/>
  <c r="P33" i="6" s="1"/>
  <c r="O32" i="6"/>
  <c r="E32" i="6"/>
  <c r="P32" i="6" s="1"/>
  <c r="N30" i="6"/>
  <c r="Q26" i="6" s="1"/>
  <c r="C30" i="6"/>
  <c r="P29" i="6"/>
  <c r="M29" i="6"/>
  <c r="M30" i="6" s="1"/>
  <c r="L29" i="6"/>
  <c r="L30" i="6" s="1"/>
  <c r="L47" i="6" s="1"/>
  <c r="K29" i="6"/>
  <c r="K30" i="6" s="1"/>
  <c r="J29" i="6"/>
  <c r="J30" i="6" s="1"/>
  <c r="I29" i="6"/>
  <c r="I30" i="6" s="1"/>
  <c r="H29" i="6"/>
  <c r="H30" i="6" s="1"/>
  <c r="G29" i="6"/>
  <c r="G30" i="6" s="1"/>
  <c r="F29" i="6"/>
  <c r="F30" i="6" s="1"/>
  <c r="E29" i="6"/>
  <c r="O28" i="6"/>
  <c r="E28" i="6"/>
  <c r="P28" i="6" s="1"/>
  <c r="Q27" i="6"/>
  <c r="P27" i="6"/>
  <c r="O27" i="6"/>
  <c r="O20" i="6"/>
  <c r="N21" i="6"/>
  <c r="M21" i="6"/>
  <c r="L21" i="6"/>
  <c r="K21" i="6"/>
  <c r="J21" i="6"/>
  <c r="I21" i="6"/>
  <c r="H21" i="6"/>
  <c r="G21" i="6"/>
  <c r="F21" i="6"/>
  <c r="E21" i="6"/>
  <c r="D21" i="6"/>
  <c r="P18" i="6"/>
  <c r="O17" i="6"/>
  <c r="P17" i="6" s="1"/>
  <c r="C47" i="6" l="1"/>
  <c r="O34" i="6"/>
  <c r="G47" i="6"/>
  <c r="O29" i="6"/>
  <c r="O30" i="6" s="1"/>
  <c r="M47" i="6"/>
  <c r="H47" i="6"/>
  <c r="P38" i="6"/>
  <c r="P43" i="6"/>
  <c r="I47" i="6"/>
  <c r="K47" i="6"/>
  <c r="O35" i="6"/>
  <c r="E30" i="6"/>
  <c r="N47" i="6"/>
  <c r="O39" i="6"/>
  <c r="O43" i="6"/>
  <c r="F47" i="6"/>
  <c r="J47" i="6"/>
  <c r="E35" i="6"/>
  <c r="N19" i="3"/>
  <c r="M19" i="3"/>
  <c r="L19" i="3"/>
  <c r="K19" i="3"/>
  <c r="J19" i="3"/>
  <c r="I19" i="3"/>
  <c r="H19" i="3"/>
  <c r="G19" i="3"/>
  <c r="E19" i="3"/>
  <c r="D19" i="3"/>
  <c r="O10" i="3"/>
  <c r="P10" i="3" s="1"/>
  <c r="O19" i="3" l="1"/>
  <c r="P19" i="3" s="1"/>
  <c r="E47" i="6"/>
  <c r="O16" i="3"/>
  <c r="P16" i="3" s="1"/>
  <c r="O13" i="3"/>
  <c r="P13" i="3" s="1"/>
  <c r="P18" i="3" l="1"/>
  <c r="O15" i="3" l="1"/>
  <c r="P15" i="3" s="1"/>
  <c r="O6" i="3" l="1"/>
  <c r="P6" i="3" s="1"/>
  <c r="O5" i="3"/>
  <c r="P5" i="3" s="1"/>
  <c r="O7" i="3"/>
  <c r="P7" i="3" s="1"/>
  <c r="O8" i="3"/>
  <c r="P8" i="3" s="1"/>
  <c r="O9" i="3"/>
  <c r="P9" i="3" s="1"/>
  <c r="O11" i="3"/>
  <c r="P11" i="3" s="1"/>
  <c r="O12" i="3"/>
  <c r="P12" i="3" s="1"/>
  <c r="O14" i="3"/>
  <c r="P14" i="3" s="1"/>
  <c r="O17" i="3"/>
  <c r="P17" i="3" s="1"/>
  <c r="O4" i="3" l="1"/>
  <c r="P4" i="3" s="1"/>
  <c r="K21" i="3" l="1"/>
  <c r="I21" i="3"/>
  <c r="N30" i="3"/>
  <c r="N35" i="3"/>
  <c r="N38" i="3"/>
  <c r="N39" i="3"/>
  <c r="N43" i="3"/>
  <c r="M29" i="3"/>
  <c r="M30" i="3" s="1"/>
  <c r="M34" i="3"/>
  <c r="M35" i="3" s="1"/>
  <c r="M38" i="3"/>
  <c r="M39" i="3"/>
  <c r="M43" i="3"/>
  <c r="L29" i="3"/>
  <c r="L30" i="3" s="1"/>
  <c r="L34" i="3"/>
  <c r="L35" i="3" s="1"/>
  <c r="L38" i="3"/>
  <c r="L39" i="3"/>
  <c r="L43" i="3"/>
  <c r="K29" i="3"/>
  <c r="K30" i="3" s="1"/>
  <c r="K34" i="3"/>
  <c r="K35" i="3" s="1"/>
  <c r="K38" i="3"/>
  <c r="K39" i="3"/>
  <c r="K43" i="3"/>
  <c r="J29" i="3"/>
  <c r="J30" i="3" s="1"/>
  <c r="J34" i="3"/>
  <c r="J35" i="3" s="1"/>
  <c r="J38" i="3"/>
  <c r="J39" i="3"/>
  <c r="J43" i="3"/>
  <c r="I29" i="3"/>
  <c r="I30" i="3" s="1"/>
  <c r="I34" i="3"/>
  <c r="I35" i="3" s="1"/>
  <c r="I38" i="3"/>
  <c r="I39" i="3"/>
  <c r="I43" i="3"/>
  <c r="H29" i="3"/>
  <c r="H30" i="3" s="1"/>
  <c r="H34" i="3"/>
  <c r="H35" i="3" s="1"/>
  <c r="H38" i="3"/>
  <c r="H39" i="3"/>
  <c r="H43" i="3"/>
  <c r="G29" i="3"/>
  <c r="G30" i="3" s="1"/>
  <c r="G34" i="3"/>
  <c r="G35" i="3" s="1"/>
  <c r="G38" i="3"/>
  <c r="G39" i="3"/>
  <c r="G43" i="3"/>
  <c r="F29" i="3"/>
  <c r="F30" i="3" s="1"/>
  <c r="F34" i="3"/>
  <c r="F35" i="3" s="1"/>
  <c r="F38" i="3"/>
  <c r="F39" i="3"/>
  <c r="F43" i="3"/>
  <c r="E28" i="3"/>
  <c r="E30" i="3" s="1"/>
  <c r="E29" i="3"/>
  <c r="E32" i="3"/>
  <c r="E33" i="3"/>
  <c r="P33" i="3" s="1"/>
  <c r="E34" i="3"/>
  <c r="E38" i="3"/>
  <c r="E39" i="3"/>
  <c r="E43" i="3"/>
  <c r="D30" i="3"/>
  <c r="D35" i="3"/>
  <c r="D38" i="3"/>
  <c r="D43" i="3"/>
  <c r="C30" i="3"/>
  <c r="C35" i="3"/>
  <c r="C38" i="3"/>
  <c r="C43" i="3"/>
  <c r="O44" i="3"/>
  <c r="O41" i="3"/>
  <c r="O42" i="3"/>
  <c r="O43" i="3" s="1"/>
  <c r="O40" i="3"/>
  <c r="O36" i="3"/>
  <c r="O37" i="3"/>
  <c r="O32" i="3"/>
  <c r="O33" i="3"/>
  <c r="P34" i="3"/>
  <c r="O27" i="3"/>
  <c r="O28" i="3"/>
  <c r="P29" i="3"/>
  <c r="P28" i="3"/>
  <c r="Q27" i="3"/>
  <c r="P27" i="3"/>
  <c r="D21" i="3"/>
  <c r="H21" i="3"/>
  <c r="N21" i="3"/>
  <c r="O20" i="3"/>
  <c r="E21" i="3"/>
  <c r="F21" i="3"/>
  <c r="G21" i="3"/>
  <c r="J21" i="3"/>
  <c r="L21" i="3"/>
  <c r="M21" i="3"/>
  <c r="M17" i="4"/>
  <c r="L6" i="5"/>
  <c r="H16" i="4"/>
  <c r="E16" i="5"/>
  <c r="D16" i="5"/>
  <c r="K16" i="5"/>
  <c r="J16" i="5"/>
  <c r="I16" i="5"/>
  <c r="H16" i="5"/>
  <c r="G16" i="5"/>
  <c r="F16" i="5"/>
  <c r="G16" i="4"/>
  <c r="J16" i="4"/>
  <c r="I16" i="4"/>
  <c r="K16" i="4"/>
  <c r="F16" i="4"/>
  <c r="L17" i="4"/>
  <c r="M5" i="4"/>
  <c r="M6" i="4"/>
  <c r="M7" i="4"/>
  <c r="M8" i="4"/>
  <c r="M9" i="4"/>
  <c r="M10" i="4"/>
  <c r="M11" i="4"/>
  <c r="M12" i="4"/>
  <c r="M13" i="4"/>
  <c r="M14" i="4"/>
  <c r="M15" i="4"/>
  <c r="L5" i="4"/>
  <c r="L6" i="4"/>
  <c r="L7" i="4"/>
  <c r="L8" i="4"/>
  <c r="L9" i="4"/>
  <c r="L10" i="4"/>
  <c r="L11" i="4"/>
  <c r="L12" i="4"/>
  <c r="L13" i="4"/>
  <c r="L14" i="4"/>
  <c r="L15" i="4"/>
  <c r="M4" i="4"/>
  <c r="M16" i="4" s="1"/>
  <c r="L4" i="4"/>
  <c r="L16" i="4" s="1"/>
  <c r="C16" i="5"/>
  <c r="B16" i="5"/>
  <c r="M17" i="5"/>
  <c r="L17" i="5"/>
  <c r="M5" i="5"/>
  <c r="M6" i="5"/>
  <c r="M7" i="5"/>
  <c r="M8" i="5"/>
  <c r="M9" i="5"/>
  <c r="M10" i="5"/>
  <c r="M11" i="5"/>
  <c r="M12" i="5"/>
  <c r="M13" i="5"/>
  <c r="M14" i="5"/>
  <c r="M15" i="5"/>
  <c r="L5" i="5"/>
  <c r="L7" i="5"/>
  <c r="L8" i="5"/>
  <c r="L9" i="5"/>
  <c r="L10" i="5"/>
  <c r="L11" i="5"/>
  <c r="L12" i="5"/>
  <c r="L13" i="5"/>
  <c r="L14" i="5"/>
  <c r="L15" i="5"/>
  <c r="M4" i="5"/>
  <c r="M16" i="5" s="1"/>
  <c r="L4" i="5"/>
  <c r="L16" i="5" s="1"/>
  <c r="E16" i="4"/>
  <c r="D16" i="4"/>
  <c r="C16" i="4"/>
  <c r="B16" i="4"/>
  <c r="C47" i="3" l="1"/>
  <c r="I47" i="3"/>
  <c r="P43" i="3"/>
  <c r="F47" i="3"/>
  <c r="E35" i="3"/>
  <c r="E47" i="3" s="1"/>
  <c r="O38" i="3"/>
  <c r="O39" i="3"/>
  <c r="P32" i="3"/>
  <c r="N47" i="3"/>
  <c r="O34" i="3"/>
  <c r="O35" i="3" s="1"/>
  <c r="D47" i="3"/>
  <c r="G47" i="3"/>
  <c r="J47" i="3"/>
  <c r="L47" i="3"/>
  <c r="H47" i="3"/>
  <c r="K47" i="3"/>
  <c r="M47" i="3"/>
  <c r="P38" i="3"/>
  <c r="Q26" i="3"/>
  <c r="O29" i="3"/>
  <c r="O30" i="3" s="1"/>
  <c r="P21" i="3"/>
  <c r="C21" i="3"/>
  <c r="O21" i="3" s="1"/>
  <c r="C21" i="6"/>
  <c r="O21" i="6" s="1"/>
  <c r="P21" i="6" l="1"/>
  <c r="O56" i="6"/>
</calcChain>
</file>

<file path=xl/sharedStrings.xml><?xml version="1.0" encoding="utf-8"?>
<sst xmlns="http://schemas.openxmlformats.org/spreadsheetml/2006/main" count="326" uniqueCount="141">
  <si>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</si>
  <si>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</si>
  <si>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</si>
  <si>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</si>
  <si>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</si>
  <si>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</si>
  <si>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</si>
  <si>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</si>
  <si>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</si>
  <si>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</si>
  <si>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</si>
  <si>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</si>
  <si>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Magasnyomású vizes takarítás</t>
  </si>
  <si>
    <t>YIV-029</t>
  </si>
  <si>
    <t>YIV-030</t>
  </si>
  <si>
    <r>
      <t>takarított terület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</si>
  <si>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HÓNAP</t>
  </si>
  <si>
    <t>ÖSSZESEN</t>
  </si>
  <si>
    <t>MUNKANEM</t>
  </si>
  <si>
    <t>LMU-286</t>
  </si>
  <si>
    <t>Feladatellátási szerződés szerint maximális térmérték</t>
  </si>
  <si>
    <t>ÖSSZESEN:</t>
  </si>
  <si>
    <t>Teljesítés mértéke:</t>
  </si>
  <si>
    <t>Gépi járdatakarítás</t>
  </si>
  <si>
    <t>m2</t>
  </si>
  <si>
    <t xml:space="preserve">nincs fix </t>
  </si>
  <si>
    <t>nincs fix m2, hanem Ft</t>
  </si>
  <si>
    <t xml:space="preserve">1. sz. melléklet </t>
  </si>
  <si>
    <t>YKG-341</t>
  </si>
  <si>
    <t>YKG-356</t>
  </si>
  <si>
    <t>teljesített munkaórák</t>
  </si>
  <si>
    <t>PYT-967</t>
  </si>
  <si>
    <t>PYT-968</t>
  </si>
  <si>
    <t>PYT-969</t>
  </si>
  <si>
    <t>PYT-970</t>
  </si>
  <si>
    <t>hulladékfelszedő</t>
  </si>
  <si>
    <t>Külső-Középső Erzsébetváros kiemelt utcaszakaszok napi kézi takarítása</t>
  </si>
  <si>
    <t>Tartalékkeret</t>
  </si>
  <si>
    <t>HK K.-K.</t>
  </si>
  <si>
    <t xml:space="preserve"> 225 572   201 120   </t>
  </si>
  <si>
    <t>HV K.-K.</t>
  </si>
  <si>
    <t>B.E.</t>
  </si>
  <si>
    <t>Összesen:</t>
  </si>
  <si>
    <r>
      <t xml:space="preserve">Gépi járdatakarítást helyettesítő kézi takarítás                                </t>
    </r>
    <r>
      <rPr>
        <sz val="11"/>
        <color rgb="FFFF0000"/>
        <rFont val="Calibri"/>
        <family val="2"/>
        <charset val="238"/>
        <scheme val="minor"/>
      </rPr>
      <t xml:space="preserve">(gépi alap m2) </t>
    </r>
  </si>
  <si>
    <t xml:space="preserve">Belső Erzsébetváros járdaszakaszainak kézi takarítása </t>
  </si>
  <si>
    <t>Közparkok hétvégi kézi takarítása                                       Teljes kerület</t>
  </si>
  <si>
    <t>Külső-Középső Erzsébetváros  kiegészítő kézi takarítása</t>
  </si>
  <si>
    <t>Újévi kézi takarítás                                             Belső Erzsébetváros</t>
  </si>
  <si>
    <t>Síkosságmentesítés                                                  Teljes kerület</t>
  </si>
  <si>
    <t>Egyéb tartalékkeret</t>
  </si>
  <si>
    <t>MAGASNYOMÁSÚ MOSÓBERENDEZÉSEK ÜZEMELTETÉSE 2020.</t>
  </si>
  <si>
    <t>JÁRDATAKARÍTÓGÉPEK ÜZEMELTETÉSE 2020.</t>
  </si>
  <si>
    <t>Gépi járdatakarítás (m2)</t>
  </si>
  <si>
    <t>Gépi járdatakarítást helyettesítő kézi takarítás (m2)</t>
  </si>
  <si>
    <t>Magasnyomású vizes takarítás (m2)</t>
  </si>
  <si>
    <t>Középső-Külső Erzsébetváros kiemelt utcaszakaszok napi kézi takarítása (m2)</t>
  </si>
  <si>
    <t>Belső Erzsébetváros járdaszakaszainak kézi takarítása (m2)</t>
  </si>
  <si>
    <t>Közparkok hétvégi kézi takarítása                        Teljes kerület (m2)</t>
  </si>
  <si>
    <t>Középső-Külső Erzsébetváros kiegészítő kézi takarítása (m2)</t>
  </si>
  <si>
    <t xml:space="preserve">Újévi kézi takarítás (m2)                                          </t>
  </si>
  <si>
    <t>Síkosságmentesítés                                           Teljes kerület (m2)</t>
  </si>
  <si>
    <r>
      <t>Elektromos önjáró hulladékfelszedő géppel történő takarítás/</t>
    </r>
    <r>
      <rPr>
        <b/>
        <sz val="11"/>
        <rFont val="Calibri"/>
        <family val="2"/>
        <charset val="238"/>
        <scheme val="minor"/>
      </rPr>
      <t>alkalom***</t>
    </r>
  </si>
  <si>
    <r>
      <t xml:space="preserve">Hulladék elszálítása </t>
    </r>
    <r>
      <rPr>
        <b/>
        <sz val="11"/>
        <color theme="1"/>
        <rFont val="Calibri"/>
        <family val="2"/>
        <charset val="238"/>
        <scheme val="minor"/>
      </rPr>
      <t>(m3)***</t>
    </r>
  </si>
  <si>
    <t>*** az Összesenben nem szerepelnek az adatok!!!</t>
  </si>
  <si>
    <t>ERZSÉBETVÁROS KFT.  - MUNKANEMENKÉNTI - TAKARÍTOTT TERÜLETEK 2021.</t>
  </si>
  <si>
    <t>Tavaszi, nyári, őszi nagytakarítás                                    Teljes kerület (m2)*</t>
  </si>
  <si>
    <t>BELSŐ EV-al együtt                                                                        ÖSSZESEN (m2):</t>
  </si>
  <si>
    <t xml:space="preserve"> ÖSSZESEN (m2):</t>
  </si>
  <si>
    <t>VII. kerület - Fővárosi területek takarítása</t>
  </si>
  <si>
    <t xml:space="preserve"> * Az összesenben NEM szerepel, a NAPI-ba van benne!!!</t>
  </si>
  <si>
    <t>ERZSÉBETVÁROS KFT.  - MUNKANEMENKÉNTI - TAKARÍTOTT TERÜLETEK 2022.</t>
  </si>
  <si>
    <t>Feladatellátási szerződés 9.2. pont</t>
  </si>
  <si>
    <t>Közterületi szemetes edények - hétköznap m³/hó</t>
  </si>
  <si>
    <r>
      <t>Közterületi szemetes edények - hétvége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</si>
  <si>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r>
      <t>Illegális lom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</si>
  <si>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r>
      <t>Kutyafuttatók területén elhelyezett szemetes edények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</si>
  <si>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r>
      <t>Utca takarításból származó hulladék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</si>
  <si>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t>∑</t>
  </si>
  <si>
    <t>HULLADÉK ELSZÁLLÍTÁS (m3)</t>
  </si>
  <si>
    <t>BELSŐ ERZSÉBETVÁROS</t>
  </si>
  <si>
    <t>KÖZÉPSŐ-KÜLSŐ ERZSÉBETVÁROS</t>
  </si>
  <si>
    <t>FŐVÁROSI TERÜLETEK</t>
  </si>
  <si>
    <t>*** az Összesenben nem szerepelnek az adatok (alkalom,m3)!!!</t>
  </si>
  <si>
    <t xml:space="preserve"> * Az összesenben NEM szerepel a m2 adat, viszont a NAPI m2 adatba benne van!!!</t>
  </si>
  <si>
    <t>VII. kerület - Fővárosi területek takarítása (m2)</t>
  </si>
  <si>
    <t xml:space="preserve">HAVI ÁTLAG </t>
  </si>
  <si>
    <t>2022.                               január</t>
  </si>
  <si>
    <t>2022.                    február</t>
  </si>
  <si>
    <t>2022.                    március</t>
  </si>
  <si>
    <t>2022.                    április</t>
  </si>
  <si>
    <t>2022.                 május</t>
  </si>
  <si>
    <t>2022.                 június</t>
  </si>
  <si>
    <t>2022.                      július</t>
  </si>
  <si>
    <t>2022.                  augusztus</t>
  </si>
  <si>
    <t>2022.                szeptember</t>
  </si>
  <si>
    <t>2022.                 október</t>
  </si>
  <si>
    <t>2022.                       november</t>
  </si>
  <si>
    <t>2022.                     december</t>
  </si>
  <si>
    <t xml:space="preserve">2022.                  ÖSSZESEN </t>
  </si>
  <si>
    <t>2022.                           átlag/hó</t>
  </si>
  <si>
    <t>VII. kerület - Fővárosi területek kézi takarítása (m2)</t>
  </si>
  <si>
    <t>2024.                               január/kg</t>
  </si>
  <si>
    <t>2024.                    február/kg</t>
  </si>
  <si>
    <t>2024.                    március/kg</t>
  </si>
  <si>
    <t xml:space="preserve">2024.                 ÖSSZESEN/kg </t>
  </si>
  <si>
    <t>2024.                 ÖSSZESEN/m3</t>
  </si>
  <si>
    <t>2024.                  április/m3</t>
  </si>
  <si>
    <t>2024.                 május/m3</t>
  </si>
  <si>
    <t>2024.                 június/m3</t>
  </si>
  <si>
    <t>2024.               július/m3</t>
  </si>
  <si>
    <t>2024.              augusztus/m3</t>
  </si>
  <si>
    <t>2024.              szeptember/m3</t>
  </si>
  <si>
    <t>2024.              október/m3</t>
  </si>
  <si>
    <t>2024.                    november/m3</t>
  </si>
  <si>
    <t>2024.                 december/m3</t>
  </si>
  <si>
    <t>mért adat</t>
  </si>
  <si>
    <t>* becsült adat</t>
  </si>
  <si>
    <t>* 2024.                             január/m3</t>
  </si>
  <si>
    <t>* 2024.                 február/m3</t>
  </si>
  <si>
    <t>* 2024.                  március/m3</t>
  </si>
  <si>
    <t>* 2024.                  április/kg</t>
  </si>
  <si>
    <t>* 2024.                május/kg</t>
  </si>
  <si>
    <t>*2024.                 június/kg</t>
  </si>
  <si>
    <t>*2024.                   július/kg</t>
  </si>
  <si>
    <t>HULLADÉK ELSZÁLLÍTÁS  m3, - kg</t>
  </si>
  <si>
    <t>Közterületi szemetes edények - hétköznap m3/hó, - kg/hó</t>
  </si>
  <si>
    <t>Közterületi szemetes edények - hétvége m3/hó, - kg/hó</t>
  </si>
  <si>
    <t>Illegális lom m3/hó, - kg/hó</t>
  </si>
  <si>
    <t>Kutyafuttatók területén elhelyezett szemetes edények m3/hó, - kg/hó</t>
  </si>
  <si>
    <t>Utca takarításból származó hulladék m3/hó, - kg/hó</t>
  </si>
  <si>
    <t>* 2024.                  augusztus/kg</t>
  </si>
  <si>
    <t>* 2024.             szeptember/kg</t>
  </si>
  <si>
    <t>* 2024.                 október/kg</t>
  </si>
  <si>
    <t>* 2024.                       november/kg</t>
  </si>
  <si>
    <t>*2024.                     december/kg</t>
  </si>
  <si>
    <r>
      <t>Elektromos önjáró hulladékfelszedő géppel történő takarítás/</t>
    </r>
    <r>
      <rPr>
        <b/>
        <i/>
        <sz val="11"/>
        <rFont val="Calibri"/>
        <family val="2"/>
        <charset val="238"/>
        <scheme val="minor"/>
      </rPr>
      <t>alkalom**</t>
    </r>
    <r>
      <rPr>
        <b/>
        <sz val="11"/>
        <rFont val="Calibri"/>
        <family val="2"/>
        <charset val="238"/>
        <scheme val="minor"/>
      </rPr>
      <t>*</t>
    </r>
  </si>
  <si>
    <r>
      <t>Hulladék elszálítása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2"/>
        <color theme="1"/>
        <rFont val="Calibri"/>
        <family val="2"/>
        <charset val="238"/>
        <scheme val="minor"/>
      </rPr>
      <t>m3</t>
    </r>
    <r>
      <rPr>
        <i/>
        <sz val="11"/>
        <color theme="1"/>
        <rFont val="Calibri"/>
        <family val="2"/>
        <charset val="238"/>
        <scheme val="minor"/>
      </rPr>
      <t>***</t>
    </r>
  </si>
  <si>
    <t>2024.                 ÖSSZESEN           m3/hó ÁTLAG</t>
  </si>
  <si>
    <t>2024.                 ÖSSZESEN           kg /hó ÁTLAG</t>
  </si>
  <si>
    <t>ERZSÉBETVÁROS NONPROFIT KFT.  - MUNKANEMENKÉNTI - TAKARÍTOTT TERÜLETEK 2024.</t>
  </si>
  <si>
    <t>ERZSÉBETVÁROS NONPROFIT KFT. - HULLADÉKOK - BONTÁSBA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</si>
</sst>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i/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2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color theme="1"/>
      <name val="Calibri"/>
      <family val="2"/>
      <charset val="238"/>
    </font>
    <font>
      <i/>
      <sz val="14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i/>
      <sz val="14"/>
      <color theme="1"/>
      <name val="Calibri"/>
      <family val="2"/>
      <charset val="238"/>
      <scheme val="minor"/>
    </font>
    <font>
      <b/>
      <sz val="14"/>
      <color theme="3"/>
      <name val="Calibri"/>
      <family val="2"/>
      <charset val="238"/>
      <scheme val="minor"/>
    </font>
    <font>
      <i/>
      <sz val="14"/>
      <color theme="3"/>
      <name val="Calibri"/>
      <family val="2"/>
      <charset val="238"/>
    </font>
    <font>
      <sz val="14"/>
      <color theme="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lightUp"/>
    </fill>
    <fill>
      <patternFill patternType="solid">
        <fgColor theme="0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2">
    <xf numFmtId="0" fontId="0" fillId="0" borderId="0" xfId="0"/>
    <xf numFmtId="0" fontId="1" fillId="0" borderId="0" xfId="0" applyFont="1"/>
    <xf numFmtId="0" fontId="5" fillId="0" borderId="17" xfId="0" applyFont="1" applyBorder="1" applyAlignment="1">
      <alignment horizontal="left" vertical="center"/>
    </xf>
    <xf numFmtId="0" fontId="0" fillId="0" borderId="27" xfId="0" applyBorder="1" applyAlignment="1">
      <alignment horizontal="center" wrapText="1"/>
    </xf>
    <xf numFmtId="3" fontId="5" fillId="0" borderId="18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5" fillId="0" borderId="34" xfId="0" applyNumberFormat="1" applyFont="1" applyBorder="1" applyAlignment="1">
      <alignment horizontal="center" vertical="center"/>
    </xf>
    <xf numFmtId="3" fontId="0" fillId="0" borderId="0" xfId="0" applyNumberFormat="1"/>
    <xf numFmtId="1" fontId="0" fillId="0" borderId="0" xfId="0" applyNumberFormat="1"/>
    <xf numFmtId="3" fontId="5" fillId="0" borderId="45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right"/>
    </xf>
    <xf numFmtId="3" fontId="5" fillId="0" borderId="48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0" fontId="0" fillId="0" borderId="49" xfId="0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3" fontId="0" fillId="0" borderId="58" xfId="0" applyNumberFormat="1" applyBorder="1" applyAlignment="1">
      <alignment horizontal="right" vertical="center"/>
    </xf>
    <xf numFmtId="3" fontId="0" fillId="0" borderId="59" xfId="0" applyNumberFormat="1" applyBorder="1" applyAlignment="1">
      <alignment horizontal="right" vertical="center"/>
    </xf>
    <xf numFmtId="3" fontId="0" fillId="0" borderId="58" xfId="0" applyNumberFormat="1" applyBorder="1" applyAlignment="1">
      <alignment horizontal="right" vertical="center" wrapText="1"/>
    </xf>
    <xf numFmtId="3" fontId="0" fillId="0" borderId="59" xfId="0" applyNumberFormat="1" applyBorder="1" applyAlignment="1">
      <alignment horizontal="right" vertical="center" wrapText="1"/>
    </xf>
    <xf numFmtId="0" fontId="6" fillId="0" borderId="62" xfId="0" applyFont="1" applyBorder="1" applyAlignment="1">
      <alignment horizontal="left" vertical="center"/>
    </xf>
    <xf numFmtId="0" fontId="6" fillId="0" borderId="63" xfId="0" applyFont="1" applyBorder="1" applyAlignment="1">
      <alignment horizontal="left" vertical="center"/>
    </xf>
    <xf numFmtId="0" fontId="6" fillId="0" borderId="64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3" fontId="14" fillId="0" borderId="20" xfId="0" applyNumberFormat="1" applyFont="1" applyBorder="1" applyAlignment="1">
      <alignment horizontal="right" vertical="center" wrapText="1"/>
    </xf>
    <xf numFmtId="3" fontId="14" fillId="0" borderId="21" xfId="0" applyNumberFormat="1" applyFont="1" applyBorder="1" applyAlignment="1">
      <alignment horizontal="right" vertical="center" wrapText="1"/>
    </xf>
    <xf numFmtId="3" fontId="14" fillId="0" borderId="22" xfId="0" applyNumberFormat="1" applyFont="1" applyBorder="1" applyAlignment="1">
      <alignment horizontal="right" vertical="center" wrapText="1"/>
    </xf>
    <xf numFmtId="3" fontId="14" fillId="0" borderId="23" xfId="0" applyNumberFormat="1" applyFont="1" applyBorder="1" applyAlignment="1">
      <alignment horizontal="right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3" fontId="14" fillId="0" borderId="4" xfId="0" applyNumberFormat="1" applyFont="1" applyBorder="1" applyAlignment="1">
      <alignment horizontal="right" vertical="center" wrapText="1"/>
    </xf>
    <xf numFmtId="3" fontId="14" fillId="0" borderId="12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3" fontId="15" fillId="0" borderId="5" xfId="0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12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/>
    </xf>
    <xf numFmtId="3" fontId="15" fillId="0" borderId="5" xfId="0" applyNumberFormat="1" applyFont="1" applyBorder="1" applyAlignment="1">
      <alignment horizontal="right"/>
    </xf>
    <xf numFmtId="3" fontId="15" fillId="0" borderId="4" xfId="0" applyNumberFormat="1" applyFont="1" applyBorder="1" applyAlignment="1">
      <alignment horizontal="right"/>
    </xf>
    <xf numFmtId="3" fontId="15" fillId="0" borderId="12" xfId="0" applyNumberFormat="1" applyFont="1" applyBorder="1" applyAlignment="1">
      <alignment horizontal="right"/>
    </xf>
    <xf numFmtId="3" fontId="1" fillId="0" borderId="22" xfId="0" applyNumberFormat="1" applyFont="1" applyBorder="1"/>
    <xf numFmtId="3" fontId="1" fillId="0" borderId="21" xfId="0" applyNumberFormat="1" applyFont="1" applyBorder="1"/>
    <xf numFmtId="3" fontId="0" fillId="0" borderId="60" xfId="0" applyNumberFormat="1" applyBorder="1" applyAlignment="1">
      <alignment vertical="center" wrapText="1"/>
    </xf>
    <xf numFmtId="3" fontId="0" fillId="0" borderId="61" xfId="0" applyNumberFormat="1" applyBorder="1" applyAlignment="1">
      <alignment vertical="center" wrapText="1"/>
    </xf>
    <xf numFmtId="3" fontId="0" fillId="0" borderId="60" xfId="0" applyNumberFormat="1" applyBorder="1"/>
    <xf numFmtId="3" fontId="0" fillId="0" borderId="61" xfId="0" applyNumberFormat="1" applyBorder="1"/>
    <xf numFmtId="3" fontId="0" fillId="0" borderId="56" xfId="0" applyNumberFormat="1" applyBorder="1"/>
    <xf numFmtId="3" fontId="0" fillId="0" borderId="57" xfId="0" applyNumberFormat="1" applyBorder="1"/>
    <xf numFmtId="3" fontId="0" fillId="0" borderId="58" xfId="0" applyNumberFormat="1" applyBorder="1"/>
    <xf numFmtId="3" fontId="0" fillId="0" borderId="59" xfId="0" applyNumberFormat="1" applyBorder="1"/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3" fontId="12" fillId="0" borderId="22" xfId="0" applyNumberFormat="1" applyFont="1" applyBorder="1" applyAlignment="1">
      <alignment horizontal="right" vertical="center"/>
    </xf>
    <xf numFmtId="3" fontId="12" fillId="0" borderId="30" xfId="0" applyNumberFormat="1" applyFont="1" applyBorder="1" applyAlignment="1">
      <alignment horizontal="right" vertical="center"/>
    </xf>
    <xf numFmtId="3" fontId="10" fillId="0" borderId="30" xfId="0" applyNumberFormat="1" applyFont="1" applyBorder="1" applyAlignment="1">
      <alignment horizontal="right" vertical="center"/>
    </xf>
    <xf numFmtId="3" fontId="0" fillId="0" borderId="30" xfId="0" applyNumberFormat="1" applyBorder="1" applyAlignment="1">
      <alignment horizontal="right" vertical="center"/>
    </xf>
    <xf numFmtId="3" fontId="0" fillId="0" borderId="23" xfId="0" applyNumberFormat="1" applyBorder="1" applyAlignment="1">
      <alignment horizontal="right" vertical="center"/>
    </xf>
    <xf numFmtId="3" fontId="7" fillId="0" borderId="22" xfId="0" applyNumberFormat="1" applyFont="1" applyBorder="1" applyAlignment="1">
      <alignment horizontal="right" vertical="center"/>
    </xf>
    <xf numFmtId="3" fontId="7" fillId="0" borderId="30" xfId="0" applyNumberFormat="1" applyFont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3" fontId="0" fillId="0" borderId="12" xfId="0" applyNumberForma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/>
    </xf>
    <xf numFmtId="3" fontId="7" fillId="0" borderId="11" xfId="0" applyNumberFormat="1" applyFont="1" applyBorder="1" applyAlignment="1">
      <alignment horizontal="right" vertical="center"/>
    </xf>
    <xf numFmtId="3" fontId="7" fillId="0" borderId="15" xfId="0" applyNumberFormat="1" applyFont="1" applyBorder="1" applyAlignment="1">
      <alignment horizontal="right" vertical="center"/>
    </xf>
    <xf numFmtId="3" fontId="0" fillId="0" borderId="15" xfId="0" applyNumberFormat="1" applyBorder="1" applyAlignment="1">
      <alignment horizontal="right" vertical="center"/>
    </xf>
    <xf numFmtId="3" fontId="0" fillId="0" borderId="13" xfId="0" applyNumberFormat="1" applyBorder="1" applyAlignment="1">
      <alignment horizontal="right" vertical="center"/>
    </xf>
    <xf numFmtId="3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66" xfId="0" applyNumberForma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6" fillId="0" borderId="28" xfId="0" applyNumberFormat="1" applyFont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left" vertical="center" wrapText="1"/>
    </xf>
    <xf numFmtId="3" fontId="0" fillId="0" borderId="68" xfId="0" applyNumberFormat="1" applyBorder="1" applyAlignment="1">
      <alignment horizontal="center" vertical="center" wrapText="1"/>
    </xf>
    <xf numFmtId="3" fontId="0" fillId="0" borderId="69" xfId="0" applyNumberForma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horizontal="left" vertical="center" wrapText="1"/>
    </xf>
    <xf numFmtId="3" fontId="0" fillId="0" borderId="30" xfId="0" applyNumberFormat="1" applyBorder="1" applyAlignment="1">
      <alignment horizontal="center" vertical="center" wrapText="1"/>
    </xf>
    <xf numFmtId="3" fontId="0" fillId="0" borderId="23" xfId="0" applyNumberFormat="1" applyBorder="1" applyAlignment="1">
      <alignment horizontal="center" vertical="center" wrapText="1"/>
    </xf>
    <xf numFmtId="3" fontId="6" fillId="0" borderId="70" xfId="0" applyNumberFormat="1" applyFont="1" applyBorder="1" applyAlignment="1">
      <alignment horizontal="center" vertical="center"/>
    </xf>
    <xf numFmtId="0" fontId="17" fillId="2" borderId="68" xfId="0" applyFont="1" applyFill="1" applyBorder="1" applyAlignment="1">
      <alignment horizontal="left" vertical="center" wrapText="1"/>
    </xf>
    <xf numFmtId="3" fontId="8" fillId="2" borderId="68" xfId="0" applyNumberFormat="1" applyFont="1" applyFill="1" applyBorder="1" applyAlignment="1">
      <alignment horizontal="center" vertical="center" wrapText="1"/>
    </xf>
    <xf numFmtId="3" fontId="0" fillId="3" borderId="35" xfId="0" applyNumberFormat="1" applyFill="1" applyBorder="1" applyAlignment="1">
      <alignment horizontal="center" vertical="center" wrapText="1"/>
    </xf>
    <xf numFmtId="3" fontId="0" fillId="2" borderId="35" xfId="0" applyNumberFormat="1" applyFill="1" applyBorder="1" applyAlignment="1">
      <alignment horizontal="center" vertical="center" wrapText="1"/>
    </xf>
    <xf numFmtId="3" fontId="0" fillId="2" borderId="41" xfId="0" applyNumberFormat="1" applyFill="1" applyBorder="1" applyAlignment="1">
      <alignment horizontal="center" vertical="center" wrapText="1"/>
    </xf>
    <xf numFmtId="3" fontId="5" fillId="0" borderId="32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left" vertical="center" wrapText="1"/>
    </xf>
    <xf numFmtId="3" fontId="5" fillId="0" borderId="70" xfId="0" applyNumberFormat="1" applyFon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 wrapText="1"/>
    </xf>
    <xf numFmtId="3" fontId="0" fillId="0" borderId="41" xfId="0" applyNumberFormat="1" applyBorder="1" applyAlignment="1">
      <alignment horizontal="center" vertical="center" wrapText="1"/>
    </xf>
    <xf numFmtId="3" fontId="18" fillId="0" borderId="37" xfId="0" applyNumberFormat="1" applyFont="1" applyBorder="1" applyAlignment="1">
      <alignment horizontal="center" vertical="center"/>
    </xf>
    <xf numFmtId="3" fontId="18" fillId="0" borderId="74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79" xfId="0" applyBorder="1" applyAlignment="1">
      <alignment horizontal="center" wrapText="1"/>
    </xf>
    <xf numFmtId="0" fontId="6" fillId="0" borderId="80" xfId="0" applyFont="1" applyBorder="1" applyAlignment="1">
      <alignment horizontal="left" vertical="center"/>
    </xf>
    <xf numFmtId="3" fontId="9" fillId="0" borderId="81" xfId="0" applyNumberFormat="1" applyFont="1" applyBorder="1" applyAlignment="1">
      <alignment horizontal="right"/>
    </xf>
    <xf numFmtId="0" fontId="6" fillId="0" borderId="82" xfId="0" applyFont="1" applyBorder="1" applyAlignment="1">
      <alignment horizontal="left" vertical="center"/>
    </xf>
    <xf numFmtId="3" fontId="9" fillId="0" borderId="59" xfId="0" applyNumberFormat="1" applyFont="1" applyBorder="1" applyAlignment="1">
      <alignment horizontal="right"/>
    </xf>
    <xf numFmtId="0" fontId="6" fillId="0" borderId="26" xfId="0" applyFont="1" applyBorder="1" applyAlignment="1">
      <alignment horizontal="left" vertical="center"/>
    </xf>
    <xf numFmtId="3" fontId="15" fillId="0" borderId="83" xfId="0" applyNumberFormat="1" applyFont="1" applyBorder="1" applyAlignment="1">
      <alignment horizontal="right"/>
    </xf>
    <xf numFmtId="3" fontId="15" fillId="0" borderId="16" xfId="0" applyNumberFormat="1" applyFont="1" applyBorder="1" applyAlignment="1">
      <alignment horizontal="right"/>
    </xf>
    <xf numFmtId="3" fontId="15" fillId="0" borderId="84" xfId="0" applyNumberFormat="1" applyFont="1" applyBorder="1" applyAlignment="1">
      <alignment horizontal="right"/>
    </xf>
    <xf numFmtId="3" fontId="15" fillId="0" borderId="85" xfId="0" applyNumberFormat="1" applyFont="1" applyBorder="1" applyAlignment="1">
      <alignment horizontal="right"/>
    </xf>
    <xf numFmtId="3" fontId="9" fillId="0" borderId="75" xfId="0" applyNumberFormat="1" applyFont="1" applyBorder="1" applyAlignment="1">
      <alignment horizontal="right"/>
    </xf>
    <xf numFmtId="3" fontId="9" fillId="0" borderId="27" xfId="0" applyNumberFormat="1" applyFont="1" applyBorder="1" applyAlignment="1">
      <alignment horizontal="right"/>
    </xf>
    <xf numFmtId="10" fontId="20" fillId="0" borderId="0" xfId="0" applyNumberFormat="1" applyFont="1" applyAlignment="1">
      <alignment horizontal="center" vertical="center"/>
    </xf>
    <xf numFmtId="3" fontId="16" fillId="0" borderId="30" xfId="0" applyNumberFormat="1" applyFont="1" applyBorder="1" applyAlignment="1">
      <alignment horizontal="center" vertical="center"/>
    </xf>
    <xf numFmtId="3" fontId="5" fillId="0" borderId="21" xfId="0" applyNumberFormat="1" applyFont="1" applyBorder="1" applyAlignment="1">
      <alignment horizontal="center" vertical="center"/>
    </xf>
    <xf numFmtId="3" fontId="0" fillId="0" borderId="4" xfId="0" applyNumberFormat="1" applyBorder="1" applyAlignment="1">
      <alignment vertical="center"/>
    </xf>
    <xf numFmtId="3" fontId="14" fillId="0" borderId="20" xfId="0" applyNumberFormat="1" applyFont="1" applyBorder="1" applyAlignment="1">
      <alignment horizontal="right"/>
    </xf>
    <xf numFmtId="3" fontId="14" fillId="0" borderId="21" xfId="0" applyNumberFormat="1" applyFont="1" applyBorder="1" applyAlignment="1">
      <alignment horizontal="right"/>
    </xf>
    <xf numFmtId="3" fontId="14" fillId="0" borderId="2" xfId="0" applyNumberFormat="1" applyFont="1" applyBorder="1" applyAlignment="1">
      <alignment horizontal="right"/>
    </xf>
    <xf numFmtId="3" fontId="14" fillId="0" borderId="5" xfId="0" applyNumberFormat="1" applyFont="1" applyBorder="1" applyAlignment="1">
      <alignment horizontal="right"/>
    </xf>
    <xf numFmtId="10" fontId="8" fillId="0" borderId="15" xfId="0" applyNumberFormat="1" applyFont="1" applyBorder="1" applyAlignment="1">
      <alignment horizontal="center" vertical="center"/>
    </xf>
    <xf numFmtId="10" fontId="5" fillId="0" borderId="96" xfId="0" applyNumberFormat="1" applyFont="1" applyBorder="1" applyAlignment="1">
      <alignment horizontal="center" vertical="center"/>
    </xf>
    <xf numFmtId="3" fontId="22" fillId="0" borderId="93" xfId="0" applyNumberFormat="1" applyFont="1" applyBorder="1" applyAlignment="1">
      <alignment horizontal="center" vertical="center"/>
    </xf>
    <xf numFmtId="3" fontId="22" fillId="0" borderId="94" xfId="0" applyNumberFormat="1" applyFont="1" applyBorder="1" applyAlignment="1">
      <alignment horizontal="center" vertical="center"/>
    </xf>
    <xf numFmtId="3" fontId="7" fillId="4" borderId="11" xfId="0" applyNumberFormat="1" applyFont="1" applyFill="1" applyBorder="1" applyAlignment="1">
      <alignment horizontal="right" vertical="center"/>
    </xf>
    <xf numFmtId="3" fontId="7" fillId="4" borderId="15" xfId="0" applyNumberFormat="1" applyFont="1" applyFill="1" applyBorder="1" applyAlignment="1">
      <alignment horizontal="right" vertical="center"/>
    </xf>
    <xf numFmtId="3" fontId="0" fillId="4" borderId="15" xfId="0" applyNumberFormat="1" applyFill="1" applyBorder="1" applyAlignment="1">
      <alignment horizontal="right" vertical="center"/>
    </xf>
    <xf numFmtId="3" fontId="0" fillId="4" borderId="13" xfId="0" applyNumberFormat="1" applyFill="1" applyBorder="1" applyAlignment="1">
      <alignment horizontal="right" vertical="center"/>
    </xf>
    <xf numFmtId="3" fontId="19" fillId="4" borderId="3" xfId="0" applyNumberFormat="1" applyFont="1" applyFill="1" applyBorder="1" applyAlignment="1">
      <alignment vertical="center"/>
    </xf>
    <xf numFmtId="3" fontId="0" fillId="4" borderId="3" xfId="0" applyNumberFormat="1" applyFill="1" applyBorder="1" applyAlignment="1">
      <alignment horizontal="right" vertical="center"/>
    </xf>
    <xf numFmtId="0" fontId="1" fillId="0" borderId="98" xfId="0" applyFont="1" applyBorder="1" applyAlignment="1">
      <alignment horizontal="center" vertical="center"/>
    </xf>
    <xf numFmtId="3" fontId="5" fillId="0" borderId="62" xfId="0" applyNumberFormat="1" applyFont="1" applyBorder="1" applyAlignment="1">
      <alignment horizontal="right" vertical="center"/>
    </xf>
    <xf numFmtId="3" fontId="5" fillId="0" borderId="99" xfId="0" applyNumberFormat="1" applyFont="1" applyBorder="1" applyAlignment="1">
      <alignment horizontal="right" vertical="center"/>
    </xf>
    <xf numFmtId="3" fontId="5" fillId="4" borderId="99" xfId="0" applyNumberFormat="1" applyFont="1" applyFill="1" applyBorder="1" applyAlignment="1">
      <alignment horizontal="right" vertical="center"/>
    </xf>
    <xf numFmtId="3" fontId="1" fillId="0" borderId="100" xfId="0" applyNumberFormat="1" applyFont="1" applyBorder="1" applyAlignment="1">
      <alignment horizontal="right" vertical="center"/>
    </xf>
    <xf numFmtId="3" fontId="1" fillId="0" borderId="101" xfId="0" applyNumberFormat="1" applyFont="1" applyBorder="1" applyAlignment="1">
      <alignment horizontal="right" vertical="center"/>
    </xf>
    <xf numFmtId="3" fontId="24" fillId="0" borderId="73" xfId="0" applyNumberFormat="1" applyFont="1" applyBorder="1" applyAlignment="1">
      <alignment horizontal="right" vertical="center"/>
    </xf>
    <xf numFmtId="3" fontId="24" fillId="0" borderId="35" xfId="0" applyNumberFormat="1" applyFont="1" applyBorder="1" applyAlignment="1">
      <alignment horizontal="right" vertical="center"/>
    </xf>
    <xf numFmtId="3" fontId="25" fillId="0" borderId="35" xfId="0" applyNumberFormat="1" applyFont="1" applyBorder="1" applyAlignment="1">
      <alignment horizontal="right" vertical="center"/>
    </xf>
    <xf numFmtId="3" fontId="25" fillId="0" borderId="41" xfId="0" applyNumberFormat="1" applyFont="1" applyBorder="1" applyAlignment="1">
      <alignment horizontal="right" vertical="center"/>
    </xf>
    <xf numFmtId="3" fontId="22" fillId="0" borderId="103" xfId="0" applyNumberFormat="1" applyFont="1" applyBorder="1" applyAlignment="1">
      <alignment horizontal="center" vertical="center"/>
    </xf>
    <xf numFmtId="3" fontId="23" fillId="0" borderId="104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vertical="center"/>
    </xf>
    <xf numFmtId="3" fontId="26" fillId="0" borderId="3" xfId="0" applyNumberFormat="1" applyFont="1" applyBorder="1" applyAlignment="1">
      <alignment horizontal="right" vertical="center"/>
    </xf>
    <xf numFmtId="3" fontId="26" fillId="0" borderId="12" xfId="0" applyNumberFormat="1" applyFont="1" applyBorder="1" applyAlignment="1">
      <alignment horizontal="right" vertical="center"/>
    </xf>
    <xf numFmtId="3" fontId="7" fillId="5" borderId="4" xfId="0" applyNumberFormat="1" applyFont="1" applyFill="1" applyBorder="1" applyAlignment="1">
      <alignment horizontal="right" vertical="center"/>
    </xf>
    <xf numFmtId="3" fontId="7" fillId="5" borderId="3" xfId="0" applyNumberFormat="1" applyFont="1" applyFill="1" applyBorder="1" applyAlignment="1">
      <alignment horizontal="right" vertical="center"/>
    </xf>
    <xf numFmtId="3" fontId="0" fillId="5" borderId="3" xfId="0" applyNumberFormat="1" applyFill="1" applyBorder="1" applyAlignment="1">
      <alignment horizontal="right" vertical="center"/>
    </xf>
    <xf numFmtId="0" fontId="27" fillId="0" borderId="0" xfId="0" applyFont="1"/>
    <xf numFmtId="2" fontId="27" fillId="0" borderId="0" xfId="0" applyNumberFormat="1" applyFont="1"/>
    <xf numFmtId="0" fontId="28" fillId="0" borderId="0" xfId="0" applyFont="1"/>
    <xf numFmtId="0" fontId="30" fillId="0" borderId="0" xfId="0" applyFont="1"/>
    <xf numFmtId="0" fontId="27" fillId="0" borderId="33" xfId="0" applyFont="1" applyBorder="1"/>
    <xf numFmtId="0" fontId="27" fillId="0" borderId="2" xfId="0" applyFont="1" applyBorder="1"/>
    <xf numFmtId="0" fontId="27" fillId="0" borderId="49" xfId="0" applyFont="1" applyBorder="1"/>
    <xf numFmtId="0" fontId="29" fillId="0" borderId="72" xfId="0" applyFont="1" applyBorder="1"/>
    <xf numFmtId="0" fontId="29" fillId="0" borderId="0" xfId="0" applyFont="1"/>
    <xf numFmtId="2" fontId="29" fillId="0" borderId="0" xfId="0" applyNumberFormat="1" applyFont="1"/>
    <xf numFmtId="0" fontId="31" fillId="0" borderId="0" xfId="0" applyFont="1"/>
    <xf numFmtId="4" fontId="27" fillId="0" borderId="6" xfId="0" applyNumberFormat="1" applyFont="1" applyBorder="1" applyAlignment="1">
      <alignment vertical="center"/>
    </xf>
    <xf numFmtId="4" fontId="27" fillId="0" borderId="5" xfId="0" applyNumberFormat="1" applyFont="1" applyBorder="1" applyAlignment="1">
      <alignment vertical="center"/>
    </xf>
    <xf numFmtId="4" fontId="27" fillId="0" borderId="50" xfId="0" applyNumberFormat="1" applyFont="1" applyBorder="1" applyAlignment="1">
      <alignment vertical="center"/>
    </xf>
    <xf numFmtId="2" fontId="29" fillId="0" borderId="107" xfId="0" applyNumberFormat="1" applyFont="1" applyBorder="1"/>
    <xf numFmtId="3" fontId="7" fillId="2" borderId="11" xfId="0" applyNumberFormat="1" applyFont="1" applyFill="1" applyBorder="1" applyAlignment="1">
      <alignment horizontal="right" vertical="center"/>
    </xf>
    <xf numFmtId="3" fontId="7" fillId="2" borderId="15" xfId="0" applyNumberFormat="1" applyFont="1" applyFill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0" fillId="0" borderId="7" xfId="0" applyNumberFormat="1" applyBorder="1" applyAlignment="1">
      <alignment horizontal="right" vertical="center"/>
    </xf>
    <xf numFmtId="3" fontId="0" fillId="0" borderId="8" xfId="0" applyNumberFormat="1" applyBorder="1" applyAlignment="1">
      <alignment horizontal="right" vertical="center"/>
    </xf>
    <xf numFmtId="3" fontId="33" fillId="0" borderId="108" xfId="0" applyNumberFormat="1" applyFont="1" applyBorder="1"/>
    <xf numFmtId="3" fontId="33" fillId="0" borderId="35" xfId="0" applyNumberFormat="1" applyFont="1" applyBorder="1"/>
    <xf numFmtId="0" fontId="1" fillId="0" borderId="97" xfId="0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80" xfId="0" applyNumberFormat="1" applyFont="1" applyBorder="1" applyAlignment="1">
      <alignment horizontal="right" vertical="center"/>
    </xf>
    <xf numFmtId="3" fontId="23" fillId="0" borderId="109" xfId="0" applyNumberFormat="1" applyFont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right" vertical="center"/>
    </xf>
    <xf numFmtId="3" fontId="34" fillId="2" borderId="3" xfId="0" applyNumberFormat="1" applyFont="1" applyFill="1" applyBorder="1" applyAlignment="1">
      <alignment vertical="center"/>
    </xf>
    <xf numFmtId="4" fontId="29" fillId="0" borderId="32" xfId="0" applyNumberFormat="1" applyFont="1" applyBorder="1"/>
    <xf numFmtId="4" fontId="29" fillId="0" borderId="107" xfId="0" applyNumberFormat="1" applyFont="1" applyBorder="1"/>
    <xf numFmtId="3" fontId="30" fillId="0" borderId="0" xfId="0" applyNumberFormat="1" applyFont="1"/>
    <xf numFmtId="3" fontId="30" fillId="0" borderId="1" xfId="0" applyNumberFormat="1" applyFont="1" applyBorder="1" applyAlignment="1">
      <alignment horizontal="center" vertical="center" wrapText="1"/>
    </xf>
    <xf numFmtId="3" fontId="30" fillId="0" borderId="3" xfId="0" applyNumberFormat="1" applyFont="1" applyBorder="1" applyAlignment="1">
      <alignment horizontal="center" vertical="center" wrapText="1"/>
    </xf>
    <xf numFmtId="3" fontId="26" fillId="0" borderId="3" xfId="0" applyNumberFormat="1" applyFont="1" applyBorder="1" applyAlignment="1">
      <alignment horizontal="center" vertical="center" wrapText="1"/>
    </xf>
    <xf numFmtId="3" fontId="30" fillId="0" borderId="6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 wrapText="1"/>
    </xf>
    <xf numFmtId="3" fontId="26" fillId="0" borderId="68" xfId="0" applyNumberFormat="1" applyFont="1" applyBorder="1" applyAlignment="1">
      <alignment horizontal="center" vertical="center" wrapText="1"/>
    </xf>
    <xf numFmtId="3" fontId="30" fillId="0" borderId="35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27" fillId="0" borderId="66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69" xfId="0" applyNumberFormat="1" applyFont="1" applyBorder="1" applyAlignment="1">
      <alignment vertical="center"/>
    </xf>
    <xf numFmtId="4" fontId="29" fillId="0" borderId="40" xfId="0" applyNumberFormat="1" applyFont="1" applyBorder="1"/>
    <xf numFmtId="3" fontId="0" fillId="2" borderId="15" xfId="0" applyNumberFormat="1" applyFill="1" applyBorder="1" applyAlignment="1">
      <alignment horizontal="right" vertical="center"/>
    </xf>
    <xf numFmtId="4" fontId="27" fillId="0" borderId="10" xfId="0" applyNumberFormat="1" applyFont="1" applyBorder="1"/>
    <xf numFmtId="4" fontId="27" fillId="0" borderId="65" xfId="0" applyNumberFormat="1" applyFont="1" applyBorder="1"/>
    <xf numFmtId="4" fontId="27" fillId="0" borderId="70" xfId="0" applyNumberFormat="1" applyFont="1" applyBorder="1"/>
    <xf numFmtId="4" fontId="27" fillId="0" borderId="110" xfId="0" applyNumberFormat="1" applyFont="1" applyBorder="1"/>
    <xf numFmtId="4" fontId="27" fillId="0" borderId="53" xfId="0" applyNumberFormat="1" applyFont="1" applyBorder="1"/>
    <xf numFmtId="4" fontId="27" fillId="0" borderId="111" xfId="0" applyNumberFormat="1" applyFont="1" applyBorder="1"/>
    <xf numFmtId="4" fontId="29" fillId="0" borderId="42" xfId="0" applyNumberFormat="1" applyFont="1" applyBorder="1"/>
    <xf numFmtId="3" fontId="0" fillId="2" borderId="13" xfId="0" applyNumberFormat="1" applyFill="1" applyBorder="1" applyAlignment="1">
      <alignment horizontal="right" vertical="center"/>
    </xf>
    <xf numFmtId="3" fontId="3" fillId="0" borderId="112" xfId="0" applyNumberFormat="1" applyFont="1" applyBorder="1" applyAlignment="1">
      <alignment horizontal="right" vertical="center"/>
    </xf>
    <xf numFmtId="3" fontId="0" fillId="0" borderId="112" xfId="0" applyNumberFormat="1" applyBorder="1" applyAlignment="1">
      <alignment horizontal="right" vertical="center"/>
    </xf>
    <xf numFmtId="3" fontId="33" fillId="0" borderId="41" xfId="0" applyNumberFormat="1" applyFont="1" applyBorder="1"/>
    <xf numFmtId="3" fontId="30" fillId="0" borderId="105" xfId="0" applyNumberFormat="1" applyFont="1" applyBorder="1" applyAlignment="1">
      <alignment horizontal="right" vertical="center"/>
    </xf>
    <xf numFmtId="3" fontId="30" fillId="0" borderId="42" xfId="0" applyNumberFormat="1" applyFont="1" applyBorder="1" applyAlignment="1">
      <alignment horizontal="right" vertical="center"/>
    </xf>
    <xf numFmtId="3" fontId="38" fillId="0" borderId="4" xfId="0" applyNumberFormat="1" applyFont="1" applyBorder="1" applyAlignment="1">
      <alignment horizontal="right" vertical="center"/>
    </xf>
    <xf numFmtId="3" fontId="38" fillId="0" borderId="3" xfId="0" applyNumberFormat="1" applyFont="1" applyBorder="1" applyAlignment="1">
      <alignment horizontal="right" vertical="center"/>
    </xf>
    <xf numFmtId="3" fontId="38" fillId="0" borderId="12" xfId="0" applyNumberFormat="1" applyFont="1" applyBorder="1" applyAlignment="1">
      <alignment horizontal="right" vertical="center"/>
    </xf>
    <xf numFmtId="3" fontId="5" fillId="2" borderId="80" xfId="0" applyNumberFormat="1" applyFont="1" applyFill="1" applyBorder="1" applyAlignment="1">
      <alignment horizontal="right" vertical="center"/>
    </xf>
    <xf numFmtId="4" fontId="27" fillId="0" borderId="6" xfId="0" applyNumberFormat="1" applyFont="1" applyBorder="1" applyAlignment="1">
      <alignment vertical="center" wrapText="1"/>
    </xf>
    <xf numFmtId="0" fontId="32" fillId="0" borderId="35" xfId="0" applyFont="1" applyBorder="1" applyAlignment="1">
      <alignment horizontal="center" vertical="center" wrapText="1"/>
    </xf>
    <xf numFmtId="0" fontId="29" fillId="0" borderId="108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4" fontId="36" fillId="0" borderId="117" xfId="0" applyNumberFormat="1" applyFont="1" applyBorder="1" applyAlignment="1">
      <alignment horizontal="right" vertical="center"/>
    </xf>
    <xf numFmtId="4" fontId="36" fillId="0" borderId="118" xfId="0" applyNumberFormat="1" applyFont="1" applyBorder="1" applyAlignment="1">
      <alignment horizontal="right" vertical="center"/>
    </xf>
    <xf numFmtId="4" fontId="36" fillId="0" borderId="119" xfId="0" applyNumberFormat="1" applyFont="1" applyBorder="1" applyAlignment="1">
      <alignment horizontal="right" vertical="center"/>
    </xf>
    <xf numFmtId="4" fontId="36" fillId="0" borderId="44" xfId="0" applyNumberFormat="1" applyFont="1" applyBorder="1" applyAlignment="1">
      <alignment horizontal="right" vertical="center"/>
    </xf>
    <xf numFmtId="3" fontId="39" fillId="0" borderId="10" xfId="0" applyNumberFormat="1" applyFont="1" applyBorder="1" applyAlignment="1">
      <alignment horizontal="right" vertical="center"/>
    </xf>
    <xf numFmtId="3" fontId="39" fillId="0" borderId="70" xfId="0" applyNumberFormat="1" applyFont="1" applyBorder="1" applyAlignment="1">
      <alignment horizontal="right" vertical="center"/>
    </xf>
    <xf numFmtId="3" fontId="39" fillId="0" borderId="53" xfId="0" applyNumberFormat="1" applyFont="1" applyBorder="1" applyAlignment="1">
      <alignment horizontal="right" vertical="center"/>
    </xf>
    <xf numFmtId="4" fontId="39" fillId="0" borderId="32" xfId="0" applyNumberFormat="1" applyFont="1" applyBorder="1" applyAlignment="1">
      <alignment horizontal="right" vertical="center"/>
    </xf>
    <xf numFmtId="0" fontId="40" fillId="0" borderId="32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5" fillId="0" borderId="120" xfId="0" applyFont="1" applyBorder="1" applyAlignment="1">
      <alignment horizontal="center" vertical="center"/>
    </xf>
    <xf numFmtId="3" fontId="0" fillId="0" borderId="121" xfId="0" applyNumberFormat="1" applyBorder="1" applyAlignment="1">
      <alignment horizontal="center" vertical="center"/>
    </xf>
    <xf numFmtId="3" fontId="0" fillId="0" borderId="122" xfId="0" applyNumberFormat="1" applyBorder="1" applyAlignment="1">
      <alignment horizontal="center" vertical="center"/>
    </xf>
    <xf numFmtId="3" fontId="0" fillId="0" borderId="123" xfId="0" applyNumberFormat="1" applyBorder="1" applyAlignment="1">
      <alignment horizontal="center" vertical="center"/>
    </xf>
    <xf numFmtId="3" fontId="0" fillId="0" borderId="124" xfId="0" applyNumberFormat="1" applyBorder="1" applyAlignment="1">
      <alignment horizontal="center" vertical="center"/>
    </xf>
    <xf numFmtId="3" fontId="0" fillId="0" borderId="125" xfId="0" applyNumberFormat="1" applyBorder="1" applyAlignment="1">
      <alignment horizontal="center" vertical="center"/>
    </xf>
    <xf numFmtId="3" fontId="10" fillId="0" borderId="22" xfId="0" applyNumberFormat="1" applyFont="1" applyBorder="1" applyAlignment="1">
      <alignment horizontal="right" vertical="center"/>
    </xf>
    <xf numFmtId="3" fontId="0" fillId="0" borderId="22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3" fontId="33" fillId="0" borderId="4" xfId="0" applyNumberFormat="1" applyFont="1" applyBorder="1" applyAlignment="1">
      <alignment horizontal="right" vertical="center"/>
    </xf>
    <xf numFmtId="3" fontId="33" fillId="0" borderId="3" xfId="0" applyNumberFormat="1" applyFont="1" applyBorder="1" applyAlignment="1">
      <alignment horizontal="right" vertical="center"/>
    </xf>
    <xf numFmtId="3" fontId="33" fillId="0" borderId="12" xfId="0" applyNumberFormat="1" applyFont="1" applyBorder="1" applyAlignment="1">
      <alignment horizontal="right" vertical="center"/>
    </xf>
    <xf numFmtId="3" fontId="0" fillId="2" borderId="11" xfId="0" applyNumberFormat="1" applyFill="1" applyBorder="1" applyAlignment="1">
      <alignment horizontal="right" vertical="center"/>
    </xf>
    <xf numFmtId="3" fontId="19" fillId="2" borderId="3" xfId="0" applyNumberFormat="1" applyFont="1" applyFill="1" applyBorder="1" applyAlignment="1">
      <alignment vertical="center"/>
    </xf>
    <xf numFmtId="3" fontId="0" fillId="2" borderId="3" xfId="0" applyNumberFormat="1" applyFill="1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4" fontId="27" fillId="0" borderId="33" xfId="0" applyNumberFormat="1" applyFont="1" applyBorder="1" applyAlignment="1">
      <alignment vertical="center"/>
    </xf>
    <xf numFmtId="4" fontId="27" fillId="0" borderId="2" xfId="0" applyNumberFormat="1" applyFont="1" applyBorder="1" applyAlignment="1">
      <alignment vertical="center"/>
    </xf>
    <xf numFmtId="0" fontId="29" fillId="0" borderId="74" xfId="0" applyFont="1" applyBorder="1"/>
    <xf numFmtId="0" fontId="29" fillId="0" borderId="32" xfId="0" applyFont="1" applyBorder="1" applyAlignment="1">
      <alignment horizontal="center" vertical="center" wrapText="1"/>
    </xf>
    <xf numFmtId="0" fontId="29" fillId="0" borderId="129" xfId="0" applyFont="1" applyBorder="1" applyAlignment="1">
      <alignment horizontal="center" vertical="center" wrapText="1"/>
    </xf>
    <xf numFmtId="0" fontId="29" fillId="0" borderId="131" xfId="0" applyFont="1" applyBorder="1" applyAlignment="1">
      <alignment horizontal="center" vertical="center" wrapText="1"/>
    </xf>
    <xf numFmtId="0" fontId="29" fillId="0" borderId="131" xfId="0" applyFont="1" applyBorder="1" applyAlignment="1">
      <alignment horizontal="center" vertical="center"/>
    </xf>
    <xf numFmtId="2" fontId="29" fillId="0" borderId="72" xfId="0" applyNumberFormat="1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32" fillId="0" borderId="129" xfId="0" applyFont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3" fontId="22" fillId="0" borderId="125" xfId="0" applyNumberFormat="1" applyFont="1" applyBorder="1" applyAlignment="1">
      <alignment horizontal="center" vertical="center"/>
    </xf>
    <xf numFmtId="3" fontId="7" fillId="0" borderId="121" xfId="0" applyNumberFormat="1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27" fillId="0" borderId="65" xfId="0" applyFont="1" applyBorder="1" applyAlignment="1">
      <alignment horizontal="left" vertical="center"/>
    </xf>
    <xf numFmtId="0" fontId="41" fillId="0" borderId="131" xfId="0" applyFont="1" applyBorder="1"/>
    <xf numFmtId="4" fontId="44" fillId="0" borderId="6" xfId="0" applyNumberFormat="1" applyFont="1" applyBorder="1" applyAlignment="1">
      <alignment vertical="center"/>
    </xf>
    <xf numFmtId="4" fontId="44" fillId="0" borderId="5" xfId="0" applyNumberFormat="1" applyFont="1" applyBorder="1" applyAlignment="1">
      <alignment vertical="center"/>
    </xf>
    <xf numFmtId="4" fontId="42" fillId="0" borderId="33" xfId="0" applyNumberFormat="1" applyFont="1" applyBorder="1" applyAlignment="1">
      <alignment vertical="center"/>
    </xf>
    <xf numFmtId="4" fontId="42" fillId="0" borderId="2" xfId="0" applyNumberFormat="1" applyFont="1" applyBorder="1" applyAlignment="1">
      <alignment vertical="center"/>
    </xf>
    <xf numFmtId="4" fontId="42" fillId="0" borderId="49" xfId="0" applyNumberFormat="1" applyFont="1" applyBorder="1" applyAlignment="1">
      <alignment vertical="center"/>
    </xf>
    <xf numFmtId="4" fontId="27" fillId="0" borderId="49" xfId="0" applyNumberFormat="1" applyFont="1" applyBorder="1" applyAlignment="1">
      <alignment vertical="center"/>
    </xf>
    <xf numFmtId="2" fontId="29" fillId="0" borderId="107" xfId="0" applyNumberFormat="1" applyFont="1" applyBorder="1" applyAlignment="1">
      <alignment horizontal="center" vertical="center"/>
    </xf>
    <xf numFmtId="3" fontId="7" fillId="2" borderId="121" xfId="0" applyNumberFormat="1" applyFont="1" applyFill="1" applyBorder="1" applyAlignment="1">
      <alignment horizontal="center" vertical="center"/>
    </xf>
    <xf numFmtId="0" fontId="27" fillId="0" borderId="110" xfId="0" applyFont="1" applyBorder="1" applyAlignment="1">
      <alignment horizontal="left" vertical="center"/>
    </xf>
    <xf numFmtId="0" fontId="27" fillId="0" borderId="111" xfId="0" applyFont="1" applyBorder="1" applyAlignment="1">
      <alignment horizontal="left" vertical="center"/>
    </xf>
    <xf numFmtId="0" fontId="30" fillId="0" borderId="95" xfId="0" applyFont="1" applyBorder="1"/>
    <xf numFmtId="0" fontId="30" fillId="0" borderId="96" xfId="0" applyFont="1" applyBorder="1"/>
    <xf numFmtId="4" fontId="39" fillId="0" borderId="74" xfId="0" applyNumberFormat="1" applyFont="1" applyBorder="1" applyAlignment="1">
      <alignment horizontal="center" vertical="center"/>
    </xf>
    <xf numFmtId="4" fontId="47" fillId="0" borderId="116" xfId="0" applyNumberFormat="1" applyFont="1" applyBorder="1" applyAlignment="1">
      <alignment horizontal="center" vertical="center"/>
    </xf>
    <xf numFmtId="4" fontId="47" fillId="0" borderId="37" xfId="0" applyNumberFormat="1" applyFont="1" applyBorder="1" applyAlignment="1">
      <alignment horizontal="center" vertical="center"/>
    </xf>
    <xf numFmtId="4" fontId="44" fillId="0" borderId="50" xfId="0" applyNumberFormat="1" applyFont="1" applyBorder="1" applyAlignment="1">
      <alignment vertical="center"/>
    </xf>
    <xf numFmtId="4" fontId="44" fillId="0" borderId="126" xfId="0" applyNumberFormat="1" applyFont="1" applyBorder="1"/>
    <xf numFmtId="4" fontId="44" fillId="0" borderId="127" xfId="0" applyNumberFormat="1" applyFont="1" applyBorder="1"/>
    <xf numFmtId="4" fontId="44" fillId="0" borderId="128" xfId="0" applyNumberFormat="1" applyFont="1" applyBorder="1"/>
    <xf numFmtId="4" fontId="48" fillId="0" borderId="42" xfId="0" applyNumberFormat="1" applyFont="1" applyBorder="1" applyAlignment="1">
      <alignment horizontal="center" vertical="center"/>
    </xf>
    <xf numFmtId="4" fontId="29" fillId="0" borderId="72" xfId="0" applyNumberFormat="1" applyFont="1" applyBorder="1" applyAlignment="1">
      <alignment horizontal="center" vertical="center"/>
    </xf>
    <xf numFmtId="4" fontId="42" fillId="0" borderId="6" xfId="0" applyNumberFormat="1" applyFont="1" applyBorder="1" applyAlignment="1">
      <alignment vertical="center"/>
    </xf>
    <xf numFmtId="4" fontId="42" fillId="0" borderId="5" xfId="0" applyNumberFormat="1" applyFont="1" applyBorder="1" applyAlignment="1">
      <alignment vertical="center"/>
    </xf>
    <xf numFmtId="4" fontId="42" fillId="0" borderId="50" xfId="0" applyNumberFormat="1" applyFont="1" applyBorder="1" applyAlignment="1">
      <alignment vertical="center"/>
    </xf>
    <xf numFmtId="4" fontId="39" fillId="0" borderId="107" xfId="0" applyNumberFormat="1" applyFont="1" applyBorder="1" applyAlignment="1">
      <alignment horizontal="center" vertical="center"/>
    </xf>
    <xf numFmtId="4" fontId="44" fillId="0" borderId="33" xfId="0" applyNumberFormat="1" applyFont="1" applyBorder="1" applyAlignment="1">
      <alignment vertical="center"/>
    </xf>
    <xf numFmtId="4" fontId="44" fillId="0" borderId="2" xfId="0" applyNumberFormat="1" applyFont="1" applyBorder="1" applyAlignment="1">
      <alignment vertical="center"/>
    </xf>
    <xf numFmtId="4" fontId="44" fillId="0" borderId="49" xfId="0" applyNumberFormat="1" applyFont="1" applyBorder="1" applyAlignment="1">
      <alignment vertical="center"/>
    </xf>
    <xf numFmtId="4" fontId="48" fillId="0" borderId="72" xfId="0" applyNumberFormat="1" applyFont="1" applyBorder="1" applyAlignment="1">
      <alignment horizontal="center" vertical="center"/>
    </xf>
    <xf numFmtId="4" fontId="48" fillId="0" borderId="107" xfId="0" applyNumberFormat="1" applyFont="1" applyBorder="1" applyAlignment="1">
      <alignment horizontal="center" vertical="center"/>
    </xf>
    <xf numFmtId="2" fontId="48" fillId="0" borderId="72" xfId="0" applyNumberFormat="1" applyFont="1" applyBorder="1" applyAlignment="1">
      <alignment horizontal="center" vertical="center"/>
    </xf>
    <xf numFmtId="4" fontId="44" fillId="0" borderId="33" xfId="0" applyNumberFormat="1" applyFont="1" applyBorder="1" applyAlignment="1">
      <alignment vertical="center" wrapText="1"/>
    </xf>
    <xf numFmtId="4" fontId="44" fillId="0" borderId="2" xfId="0" applyNumberFormat="1" applyFont="1" applyBorder="1" applyAlignment="1">
      <alignment vertical="center" wrapText="1"/>
    </xf>
    <xf numFmtId="4" fontId="44" fillId="0" borderId="49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42" fillId="0" borderId="12" xfId="0" applyNumberFormat="1" applyFont="1" applyBorder="1" applyAlignment="1">
      <alignment vertical="center"/>
    </xf>
    <xf numFmtId="4" fontId="42" fillId="0" borderId="69" xfId="0" applyNumberFormat="1" applyFont="1" applyBorder="1" applyAlignment="1">
      <alignment vertical="center"/>
    </xf>
    <xf numFmtId="0" fontId="32" fillId="0" borderId="108" xfId="0" applyFont="1" applyBorder="1" applyAlignment="1">
      <alignment horizontal="center" vertical="center" wrapText="1"/>
    </xf>
    <xf numFmtId="4" fontId="44" fillId="0" borderId="66" xfId="0" applyNumberFormat="1" applyFont="1" applyBorder="1" applyAlignment="1">
      <alignment vertical="center"/>
    </xf>
    <xf numFmtId="4" fontId="44" fillId="0" borderId="12" xfId="0" applyNumberFormat="1" applyFont="1" applyBorder="1" applyAlignment="1">
      <alignment vertical="center"/>
    </xf>
    <xf numFmtId="4" fontId="44" fillId="0" borderId="69" xfId="0" applyNumberFormat="1" applyFont="1" applyBorder="1" applyAlignment="1">
      <alignment vertical="center"/>
    </xf>
    <xf numFmtId="0" fontId="50" fillId="0" borderId="73" xfId="0" applyFont="1" applyBorder="1" applyAlignment="1">
      <alignment horizontal="center" vertical="center" wrapText="1"/>
    </xf>
    <xf numFmtId="0" fontId="50" fillId="0" borderId="108" xfId="0" applyFont="1" applyBorder="1" applyAlignment="1">
      <alignment horizontal="center" vertical="center" wrapText="1"/>
    </xf>
    <xf numFmtId="0" fontId="51" fillId="0" borderId="108" xfId="0" applyFont="1" applyBorder="1" applyAlignment="1">
      <alignment horizontal="center" vertical="center" wrapText="1"/>
    </xf>
    <xf numFmtId="0" fontId="51" fillId="0" borderId="129" xfId="0" applyFont="1" applyBorder="1" applyAlignment="1">
      <alignment horizontal="center" vertical="center" wrapText="1"/>
    </xf>
    <xf numFmtId="0" fontId="7" fillId="0" borderId="0" xfId="0" applyFont="1"/>
    <xf numFmtId="0" fontId="51" fillId="0" borderId="35" xfId="0" applyFont="1" applyBorder="1" applyAlignment="1">
      <alignment horizontal="center" vertical="center" wrapText="1"/>
    </xf>
    <xf numFmtId="2" fontId="29" fillId="0" borderId="130" xfId="0" applyNumberFormat="1" applyFont="1" applyBorder="1" applyAlignment="1">
      <alignment horizontal="center" vertical="center"/>
    </xf>
    <xf numFmtId="0" fontId="9" fillId="0" borderId="129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4" fontId="48" fillId="0" borderId="40" xfId="0" applyNumberFormat="1" applyFont="1" applyBorder="1" applyAlignment="1">
      <alignment horizontal="center" vertical="center"/>
    </xf>
    <xf numFmtId="4" fontId="48" fillId="0" borderId="37" xfId="0" applyNumberFormat="1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4" fontId="46" fillId="0" borderId="33" xfId="0" applyNumberFormat="1" applyFont="1" applyBorder="1" applyAlignment="1">
      <alignment horizontal="right" vertical="center"/>
    </xf>
    <xf numFmtId="4" fontId="46" fillId="0" borderId="2" xfId="0" applyNumberFormat="1" applyFont="1" applyBorder="1" applyAlignment="1">
      <alignment horizontal="right" vertical="center"/>
    </xf>
    <xf numFmtId="4" fontId="46" fillId="0" borderId="49" xfId="0" applyNumberFormat="1" applyFont="1" applyBorder="1" applyAlignment="1">
      <alignment horizontal="right" vertical="center"/>
    </xf>
    <xf numFmtId="4" fontId="46" fillId="0" borderId="33" xfId="0" applyNumberFormat="1" applyFont="1" applyBorder="1"/>
    <xf numFmtId="4" fontId="46" fillId="0" borderId="2" xfId="0" applyNumberFormat="1" applyFont="1" applyBorder="1"/>
    <xf numFmtId="4" fontId="46" fillId="0" borderId="49" xfId="0" applyNumberFormat="1" applyFont="1" applyBorder="1"/>
    <xf numFmtId="4" fontId="48" fillId="0" borderId="32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right" vertical="center"/>
    </xf>
    <xf numFmtId="164" fontId="52" fillId="0" borderId="15" xfId="0" applyNumberFormat="1" applyFont="1" applyBorder="1" applyAlignment="1">
      <alignment horizontal="right" vertical="center"/>
    </xf>
    <xf numFmtId="164" fontId="52" fillId="0" borderId="3" xfId="0" applyNumberFormat="1" applyFont="1" applyBorder="1" applyAlignment="1">
      <alignment horizontal="right" vertical="center"/>
    </xf>
    <xf numFmtId="164" fontId="52" fillId="0" borderId="13" xfId="0" applyNumberFormat="1" applyFont="1" applyBorder="1" applyAlignment="1">
      <alignment horizontal="right" vertical="center"/>
    </xf>
    <xf numFmtId="3" fontId="1" fillId="0" borderId="80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3" fontId="53" fillId="0" borderId="103" xfId="0" applyNumberFormat="1" applyFont="1" applyBorder="1" applyAlignment="1">
      <alignment horizontal="center" vertical="center"/>
    </xf>
    <xf numFmtId="3" fontId="22" fillId="0" borderId="109" xfId="0" applyNumberFormat="1" applyFont="1" applyBorder="1" applyAlignment="1">
      <alignment horizontal="center" vertical="center"/>
    </xf>
    <xf numFmtId="4" fontId="55" fillId="6" borderId="33" xfId="0" applyNumberFormat="1" applyFont="1" applyFill="1" applyBorder="1" applyAlignment="1">
      <alignment horizontal="center" vertical="center"/>
    </xf>
    <xf numFmtId="4" fontId="56" fillId="6" borderId="6" xfId="0" applyNumberFormat="1" applyFont="1" applyFill="1" applyBorder="1" applyAlignment="1">
      <alignment horizontal="center" vertical="center"/>
    </xf>
    <xf numFmtId="4" fontId="55" fillId="6" borderId="2" xfId="0" applyNumberFormat="1" applyFont="1" applyFill="1" applyBorder="1" applyAlignment="1">
      <alignment horizontal="center" vertical="center"/>
    </xf>
    <xf numFmtId="4" fontId="56" fillId="6" borderId="5" xfId="0" applyNumberFormat="1" applyFont="1" applyFill="1" applyBorder="1" applyAlignment="1">
      <alignment horizontal="center" vertical="center"/>
    </xf>
    <xf numFmtId="4" fontId="55" fillId="6" borderId="49" xfId="0" applyNumberFormat="1" applyFont="1" applyFill="1" applyBorder="1" applyAlignment="1">
      <alignment horizontal="center" vertical="center"/>
    </xf>
    <xf numFmtId="4" fontId="56" fillId="6" borderId="50" xfId="0" applyNumberFormat="1" applyFont="1" applyFill="1" applyBorder="1" applyAlignment="1">
      <alignment horizontal="center" vertical="center"/>
    </xf>
    <xf numFmtId="4" fontId="56" fillId="6" borderId="37" xfId="0" applyNumberFormat="1" applyFont="1" applyFill="1" applyBorder="1" applyAlignment="1">
      <alignment horizontal="center" vertical="center"/>
    </xf>
    <xf numFmtId="4" fontId="56" fillId="6" borderId="116" xfId="0" applyNumberFormat="1" applyFont="1" applyFill="1" applyBorder="1" applyAlignment="1">
      <alignment horizontal="center" vertical="center"/>
    </xf>
    <xf numFmtId="4" fontId="45" fillId="0" borderId="33" xfId="0" applyNumberFormat="1" applyFont="1" applyBorder="1" applyAlignment="1">
      <alignment horizontal="center" vertical="center"/>
    </xf>
    <xf numFmtId="4" fontId="45" fillId="0" borderId="66" xfId="0" applyNumberFormat="1" applyFont="1" applyBorder="1" applyAlignment="1">
      <alignment horizontal="center" vertical="center"/>
    </xf>
    <xf numFmtId="4" fontId="45" fillId="0" borderId="2" xfId="0" applyNumberFormat="1" applyFont="1" applyBorder="1" applyAlignment="1">
      <alignment horizontal="center" vertical="center"/>
    </xf>
    <xf numFmtId="4" fontId="45" fillId="0" borderId="12" xfId="0" applyNumberFormat="1" applyFont="1" applyBorder="1" applyAlignment="1">
      <alignment horizontal="center" vertical="center"/>
    </xf>
    <xf numFmtId="4" fontId="45" fillId="0" borderId="49" xfId="0" applyNumberFormat="1" applyFont="1" applyBorder="1" applyAlignment="1">
      <alignment horizontal="center" vertical="center"/>
    </xf>
    <xf numFmtId="4" fontId="45" fillId="0" borderId="69" xfId="0" applyNumberFormat="1" applyFont="1" applyBorder="1" applyAlignment="1">
      <alignment horizontal="center" vertical="center"/>
    </xf>
    <xf numFmtId="4" fontId="36" fillId="0" borderId="37" xfId="0" applyNumberFormat="1" applyFont="1" applyBorder="1" applyAlignment="1">
      <alignment horizontal="center" vertical="center"/>
    </xf>
    <xf numFmtId="4" fontId="36" fillId="0" borderId="74" xfId="0" applyNumberFormat="1" applyFont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 wrapText="1"/>
    </xf>
    <xf numFmtId="0" fontId="54" fillId="3" borderId="32" xfId="0" applyFont="1" applyFill="1" applyBorder="1" applyAlignment="1">
      <alignment horizontal="center" vertical="center" wrapText="1"/>
    </xf>
    <xf numFmtId="0" fontId="49" fillId="0" borderId="0" xfId="0" applyFont="1"/>
    <xf numFmtId="0" fontId="0" fillId="0" borderId="8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8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26" fillId="0" borderId="8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7" fillId="0" borderId="9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92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" fillId="0" borderId="9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52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4" fillId="0" borderId="86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1" fillId="0" borderId="8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/>
    </xf>
    <xf numFmtId="0" fontId="1" fillId="0" borderId="89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0" fillId="0" borderId="9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5" fillId="0" borderId="113" xfId="0" applyNumberFormat="1" applyFont="1" applyBorder="1" applyAlignment="1">
      <alignment horizontal="center" vertical="center"/>
    </xf>
    <xf numFmtId="0" fontId="5" fillId="0" borderId="114" xfId="0" applyFont="1" applyBorder="1" applyAlignment="1">
      <alignment horizontal="center" vertical="center"/>
    </xf>
    <xf numFmtId="0" fontId="5" fillId="0" borderId="115" xfId="0" applyFont="1" applyBorder="1" applyAlignment="1">
      <alignment horizontal="center" vertical="center"/>
    </xf>
    <xf numFmtId="0" fontId="35" fillId="0" borderId="108" xfId="0" applyFont="1" applyBorder="1" applyAlignment="1">
      <alignment horizontal="left" vertical="center"/>
    </xf>
    <xf numFmtId="0" fontId="35" fillId="0" borderId="41" xfId="0" applyFont="1" applyBorder="1" applyAlignment="1">
      <alignment horizontal="left" vertical="center"/>
    </xf>
    <xf numFmtId="0" fontId="1" fillId="2" borderId="42" xfId="0" applyFont="1" applyFill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center"/>
    </xf>
    <xf numFmtId="0" fontId="1" fillId="2" borderId="44" xfId="0" applyFont="1" applyFill="1" applyBorder="1" applyAlignment="1">
      <alignment horizontal="left" vertical="center"/>
    </xf>
    <xf numFmtId="0" fontId="30" fillId="0" borderId="108" xfId="0" applyFont="1" applyBorder="1" applyAlignment="1">
      <alignment horizontal="left" vertical="center"/>
    </xf>
    <xf numFmtId="0" fontId="30" fillId="0" borderId="41" xfId="0" applyFont="1" applyBorder="1" applyAlignment="1">
      <alignment horizontal="left" vertical="center"/>
    </xf>
    <xf numFmtId="0" fontId="1" fillId="0" borderId="108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37" fillId="0" borderId="82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116" xfId="0" applyFont="1" applyBorder="1" applyAlignment="1">
      <alignment horizontal="center" vertical="center" wrapText="1"/>
    </xf>
    <xf numFmtId="0" fontId="29" fillId="0" borderId="105" xfId="0" applyFont="1" applyBorder="1" applyAlignment="1">
      <alignment horizontal="center" vertical="center"/>
    </xf>
    <xf numFmtId="0" fontId="29" fillId="0" borderId="106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43" xfId="0" applyFont="1" applyBorder="1" applyAlignment="1">
      <alignment horizontal="center" vertical="center"/>
    </xf>
    <xf numFmtId="0" fontId="43" fillId="0" borderId="4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/>
    </xf>
    <xf numFmtId="0" fontId="1" fillId="0" borderId="7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7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K55" sqref="K55"/>
    </sheetView>
  </sheetViews>
  <sheetFormatPr defaultRowHeight="15" x14ac:dyDescent="0.25"/>
  <cols>
    <col min="1" max="1" width="26.28515625" customWidth="1"/>
    <col min="2" max="2" width="10.7109375" customWidth="1"/>
    <col min="3" max="14" width="14.7109375" style="1" customWidth="1"/>
    <col min="15" max="15" width="15.5703125" customWidth="1"/>
    <col min="16" max="16" width="18.85546875" customWidth="1"/>
    <col min="17" max="17" width="18.5703125" customWidth="1"/>
    <col min="18" max="18" width="10.42578125" bestFit="1" customWidth="1"/>
  </cols>
  <sheetData>
    <row r="1" spans="1:18" ht="28.5" hidden="1" customHeight="1" thickTop="1" thickBot="1" x14ac:dyDescent="0.45">
      <c r="A1" s="371" t="s">
        <v>27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3"/>
    </row>
    <row r="2" spans="1:18" ht="30" customHeight="1" thickTop="1" thickBot="1" x14ac:dyDescent="0.3">
      <c r="A2" s="374" t="s">
        <v>64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6"/>
    </row>
    <row r="3" spans="1:18" ht="20.100000000000001" customHeight="1" thickBot="1" x14ac:dyDescent="0.3">
      <c r="A3" s="377" t="s">
        <v>18</v>
      </c>
      <c r="B3" s="378"/>
      <c r="C3" s="51" t="s">
        <v>0</v>
      </c>
      <c r="D3" s="52" t="s">
        <v>1</v>
      </c>
      <c r="E3" s="52" t="s">
        <v>2</v>
      </c>
      <c r="F3" s="52" t="s">
        <v>3</v>
      </c>
      <c r="G3" s="52" t="s">
        <v>4</v>
      </c>
      <c r="H3" s="52" t="s">
        <v>5</v>
      </c>
      <c r="I3" s="52" t="s">
        <v>6</v>
      </c>
      <c r="J3" s="52" t="s">
        <v>7</v>
      </c>
      <c r="K3" s="52" t="s">
        <v>8</v>
      </c>
      <c r="L3" s="52" t="s">
        <v>9</v>
      </c>
      <c r="M3" s="52" t="s">
        <v>10</v>
      </c>
      <c r="N3" s="53" t="s">
        <v>11</v>
      </c>
      <c r="O3" s="136" t="s">
        <v>21</v>
      </c>
    </row>
    <row r="4" spans="1:18" ht="30" customHeight="1" thickTop="1" x14ac:dyDescent="0.25">
      <c r="A4" s="379" t="s">
        <v>52</v>
      </c>
      <c r="B4" s="380"/>
      <c r="C4" s="54">
        <v>1662026</v>
      </c>
      <c r="D4" s="55">
        <v>1193321</v>
      </c>
      <c r="E4" s="56">
        <v>555136</v>
      </c>
      <c r="F4" s="56">
        <v>804078</v>
      </c>
      <c r="G4" s="56">
        <v>976566</v>
      </c>
      <c r="H4" s="57">
        <v>1261590</v>
      </c>
      <c r="I4" s="57">
        <v>1453713</v>
      </c>
      <c r="J4" s="57">
        <v>1130916</v>
      </c>
      <c r="K4" s="57">
        <v>806539</v>
      </c>
      <c r="L4" s="57">
        <v>1027146</v>
      </c>
      <c r="M4" s="57">
        <v>774423</v>
      </c>
      <c r="N4" s="58">
        <v>1359480</v>
      </c>
      <c r="O4" s="137">
        <f>SUM(C4:N4)</f>
        <v>13004934</v>
      </c>
      <c r="P4" s="105">
        <f>SUM(O4)/12</f>
        <v>1083744.5</v>
      </c>
      <c r="Q4" s="105"/>
    </row>
    <row r="5" spans="1:18" ht="30" customHeight="1" x14ac:dyDescent="0.25">
      <c r="A5" s="381" t="s">
        <v>53</v>
      </c>
      <c r="B5" s="382"/>
      <c r="C5" s="59">
        <v>0</v>
      </c>
      <c r="D5" s="60">
        <v>309620</v>
      </c>
      <c r="E5" s="57">
        <v>1020053</v>
      </c>
      <c r="F5" s="57">
        <v>338085</v>
      </c>
      <c r="G5" s="57">
        <v>197065</v>
      </c>
      <c r="H5" s="57">
        <v>387320</v>
      </c>
      <c r="I5" s="57">
        <v>99680</v>
      </c>
      <c r="J5" s="57">
        <v>340400</v>
      </c>
      <c r="K5" s="57">
        <v>752600</v>
      </c>
      <c r="L5" s="57">
        <v>400080</v>
      </c>
      <c r="M5" s="57">
        <v>473560</v>
      </c>
      <c r="N5" s="58">
        <v>598160</v>
      </c>
      <c r="O5" s="138">
        <f t="shared" ref="O5:O17" si="0">SUM(C5:N5)</f>
        <v>4916623</v>
      </c>
      <c r="P5" s="105">
        <f t="shared" ref="P5:P18" si="1">SUM(O5)/12</f>
        <v>409718.58333333331</v>
      </c>
      <c r="Q5" s="105"/>
    </row>
    <row r="6" spans="1:18" ht="30" customHeight="1" x14ac:dyDescent="0.25">
      <c r="A6" s="381" t="s">
        <v>61</v>
      </c>
      <c r="B6" s="382"/>
      <c r="C6" s="59">
        <v>0</v>
      </c>
      <c r="D6" s="60">
        <v>1</v>
      </c>
      <c r="E6" s="57">
        <v>18</v>
      </c>
      <c r="F6" s="57">
        <v>14</v>
      </c>
      <c r="G6" s="57">
        <v>17</v>
      </c>
      <c r="H6" s="57">
        <v>20</v>
      </c>
      <c r="I6" s="57">
        <v>5</v>
      </c>
      <c r="J6" s="57">
        <v>0</v>
      </c>
      <c r="K6" s="57">
        <v>4</v>
      </c>
      <c r="L6" s="57">
        <v>0</v>
      </c>
      <c r="M6" s="57">
        <v>11</v>
      </c>
      <c r="N6" s="58">
        <v>9</v>
      </c>
      <c r="O6" s="138">
        <f>SUM(C6:N6)</f>
        <v>99</v>
      </c>
      <c r="P6" s="105">
        <f t="shared" si="1"/>
        <v>8.25</v>
      </c>
      <c r="Q6" s="105"/>
    </row>
    <row r="7" spans="1:18" ht="30" customHeight="1" x14ac:dyDescent="0.25">
      <c r="A7" s="356" t="s">
        <v>54</v>
      </c>
      <c r="B7" s="357"/>
      <c r="C7" s="63">
        <v>58600</v>
      </c>
      <c r="D7" s="64">
        <v>187481</v>
      </c>
      <c r="E7" s="61">
        <v>842869</v>
      </c>
      <c r="F7" s="61">
        <v>1078963</v>
      </c>
      <c r="G7" s="61">
        <v>1092271</v>
      </c>
      <c r="H7" s="61">
        <v>1492330</v>
      </c>
      <c r="I7" s="61">
        <v>1305773</v>
      </c>
      <c r="J7" s="61">
        <v>1275956</v>
      </c>
      <c r="K7" s="61">
        <v>1202219</v>
      </c>
      <c r="L7" s="61">
        <v>1265686</v>
      </c>
      <c r="M7" s="61">
        <v>858677</v>
      </c>
      <c r="N7" s="62">
        <v>28480</v>
      </c>
      <c r="O7" s="138">
        <f t="shared" si="0"/>
        <v>10689305</v>
      </c>
      <c r="P7" s="105">
        <f t="shared" si="1"/>
        <v>890775.41666666663</v>
      </c>
      <c r="Q7" s="105"/>
    </row>
    <row r="8" spans="1:18" ht="30" customHeight="1" x14ac:dyDescent="0.25">
      <c r="A8" s="356" t="s">
        <v>55</v>
      </c>
      <c r="B8" s="357"/>
      <c r="C8" s="63">
        <v>336980</v>
      </c>
      <c r="D8" s="64">
        <v>372620</v>
      </c>
      <c r="E8" s="61">
        <v>631820</v>
      </c>
      <c r="F8" s="61">
        <v>700660</v>
      </c>
      <c r="G8" s="61">
        <v>656300</v>
      </c>
      <c r="H8" s="61">
        <v>489060</v>
      </c>
      <c r="I8" s="61">
        <v>687000</v>
      </c>
      <c r="J8" s="61">
        <v>532360</v>
      </c>
      <c r="K8" s="61">
        <v>735620</v>
      </c>
      <c r="L8" s="61">
        <v>731400</v>
      </c>
      <c r="M8" s="61">
        <v>831160</v>
      </c>
      <c r="N8" s="62">
        <v>866620</v>
      </c>
      <c r="O8" s="138">
        <f t="shared" si="0"/>
        <v>7571600</v>
      </c>
      <c r="P8" s="105">
        <f t="shared" si="1"/>
        <v>630966.66666666663</v>
      </c>
      <c r="Q8" s="105"/>
    </row>
    <row r="9" spans="1:18" ht="30" customHeight="1" x14ac:dyDescent="0.25">
      <c r="A9" s="356" t="s">
        <v>56</v>
      </c>
      <c r="B9" s="357"/>
      <c r="C9" s="63">
        <v>2316847</v>
      </c>
      <c r="D9" s="64">
        <v>2092636</v>
      </c>
      <c r="E9" s="61">
        <v>2316847</v>
      </c>
      <c r="F9" s="61">
        <v>2242110</v>
      </c>
      <c r="G9" s="61">
        <v>2316847</v>
      </c>
      <c r="H9" s="61">
        <v>2242110</v>
      </c>
      <c r="I9" s="61">
        <v>2167373</v>
      </c>
      <c r="J9" s="61">
        <v>2316847</v>
      </c>
      <c r="K9" s="61">
        <v>2242110</v>
      </c>
      <c r="L9" s="61">
        <v>2316847</v>
      </c>
      <c r="M9" s="61">
        <v>2242110</v>
      </c>
      <c r="N9" s="62">
        <v>2316847</v>
      </c>
      <c r="O9" s="138">
        <f t="shared" si="0"/>
        <v>27129531</v>
      </c>
      <c r="P9" s="105">
        <f t="shared" si="1"/>
        <v>2260794.25</v>
      </c>
      <c r="Q9" s="105"/>
      <c r="R9" s="8"/>
    </row>
    <row r="10" spans="1:18" ht="30" customHeight="1" x14ac:dyDescent="0.25">
      <c r="A10" s="360" t="s">
        <v>68</v>
      </c>
      <c r="B10" s="361"/>
      <c r="C10" s="151"/>
      <c r="D10" s="152"/>
      <c r="E10" s="153"/>
      <c r="F10" s="153"/>
      <c r="G10" s="149">
        <v>106552</v>
      </c>
      <c r="H10" s="153"/>
      <c r="I10" s="153"/>
      <c r="J10" s="153"/>
      <c r="K10" s="149">
        <v>29449</v>
      </c>
      <c r="L10" s="149">
        <v>112046</v>
      </c>
      <c r="M10" s="149">
        <v>42054</v>
      </c>
      <c r="N10" s="150">
        <v>18900</v>
      </c>
      <c r="O10" s="138">
        <f>SUM(C10:N10)</f>
        <v>309001</v>
      </c>
      <c r="P10" s="105">
        <f>SUM(O10)/5</f>
        <v>61800.2</v>
      </c>
      <c r="Q10" s="105"/>
      <c r="R10" s="8"/>
    </row>
    <row r="11" spans="1:18" ht="30" customHeight="1" x14ac:dyDescent="0.25">
      <c r="A11" s="356" t="s">
        <v>57</v>
      </c>
      <c r="B11" s="357"/>
      <c r="C11" s="63">
        <v>10323</v>
      </c>
      <c r="D11" s="64">
        <v>0</v>
      </c>
      <c r="E11" s="61">
        <v>0</v>
      </c>
      <c r="F11" s="61">
        <v>20646</v>
      </c>
      <c r="G11" s="61">
        <v>10323</v>
      </c>
      <c r="H11" s="61">
        <v>41292</v>
      </c>
      <c r="I11" s="61">
        <v>51615</v>
      </c>
      <c r="J11" s="61">
        <v>51615</v>
      </c>
      <c r="K11" s="61">
        <v>72261</v>
      </c>
      <c r="L11" s="61">
        <v>92907</v>
      </c>
      <c r="M11" s="61">
        <v>92907</v>
      </c>
      <c r="N11" s="62">
        <v>72261</v>
      </c>
      <c r="O11" s="138">
        <f t="shared" si="0"/>
        <v>516150</v>
      </c>
      <c r="P11" s="105">
        <f t="shared" si="1"/>
        <v>43012.5</v>
      </c>
      <c r="Q11" s="105"/>
      <c r="R11" s="8"/>
    </row>
    <row r="12" spans="1:18" ht="30" customHeight="1" x14ac:dyDescent="0.25">
      <c r="A12" s="356" t="s">
        <v>58</v>
      </c>
      <c r="B12" s="357"/>
      <c r="C12" s="121">
        <v>176080</v>
      </c>
      <c r="D12" s="64">
        <v>258020</v>
      </c>
      <c r="E12" s="61">
        <v>536320</v>
      </c>
      <c r="F12" s="61">
        <v>521360</v>
      </c>
      <c r="G12" s="61">
        <v>548480</v>
      </c>
      <c r="H12" s="61">
        <v>499760</v>
      </c>
      <c r="I12" s="61">
        <v>638320</v>
      </c>
      <c r="J12" s="61">
        <v>439360</v>
      </c>
      <c r="K12" s="61">
        <v>647997</v>
      </c>
      <c r="L12" s="61">
        <v>730481</v>
      </c>
      <c r="M12" s="61">
        <v>826000</v>
      </c>
      <c r="N12" s="62">
        <v>728160</v>
      </c>
      <c r="O12" s="138">
        <f t="shared" si="0"/>
        <v>6550338</v>
      </c>
      <c r="P12" s="105">
        <f t="shared" si="1"/>
        <v>545861.5</v>
      </c>
      <c r="Q12" s="105"/>
      <c r="R12" s="8"/>
    </row>
    <row r="13" spans="1:18" ht="30" customHeight="1" x14ac:dyDescent="0.25">
      <c r="A13" s="358" t="s">
        <v>65</v>
      </c>
      <c r="B13" s="359"/>
      <c r="C13" s="130">
        <v>0</v>
      </c>
      <c r="D13" s="131">
        <v>0</v>
      </c>
      <c r="E13" s="132">
        <v>0</v>
      </c>
      <c r="F13" s="134">
        <v>248698</v>
      </c>
      <c r="G13" s="135">
        <v>0</v>
      </c>
      <c r="H13" s="132">
        <v>0</v>
      </c>
      <c r="I13" s="132">
        <v>268573</v>
      </c>
      <c r="J13" s="132">
        <v>0</v>
      </c>
      <c r="K13" s="132">
        <v>0</v>
      </c>
      <c r="L13" s="132">
        <v>283851</v>
      </c>
      <c r="M13" s="132">
        <v>0</v>
      </c>
      <c r="N13" s="133">
        <v>0</v>
      </c>
      <c r="O13" s="139">
        <f>SUM(C13:N13)</f>
        <v>801122</v>
      </c>
      <c r="P13" s="105">
        <f>SUM(O13)/3</f>
        <v>267040.66666666669</v>
      </c>
      <c r="Q13" s="105"/>
      <c r="R13" s="8"/>
    </row>
    <row r="14" spans="1:18" ht="30" customHeight="1" x14ac:dyDescent="0.25">
      <c r="A14" s="356" t="s">
        <v>59</v>
      </c>
      <c r="B14" s="357"/>
      <c r="C14" s="65">
        <v>0</v>
      </c>
      <c r="D14" s="66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8">
        <v>0</v>
      </c>
      <c r="O14" s="138">
        <f t="shared" si="0"/>
        <v>0</v>
      </c>
      <c r="P14" s="105">
        <f t="shared" si="1"/>
        <v>0</v>
      </c>
      <c r="Q14" s="105"/>
    </row>
    <row r="15" spans="1:18" ht="30" customHeight="1" x14ac:dyDescent="0.25">
      <c r="A15" s="356" t="s">
        <v>62</v>
      </c>
      <c r="B15" s="357"/>
      <c r="C15" s="65">
        <v>368</v>
      </c>
      <c r="D15" s="66">
        <v>310</v>
      </c>
      <c r="E15" s="67">
        <v>384</v>
      </c>
      <c r="F15" s="67">
        <v>324</v>
      </c>
      <c r="G15" s="67">
        <v>384</v>
      </c>
      <c r="H15" s="67">
        <v>384</v>
      </c>
      <c r="I15" s="67">
        <v>560</v>
      </c>
      <c r="J15" s="67">
        <v>560</v>
      </c>
      <c r="K15" s="67">
        <v>688</v>
      </c>
      <c r="L15" s="148">
        <v>603</v>
      </c>
      <c r="M15" s="148">
        <v>644</v>
      </c>
      <c r="N15" s="68">
        <v>644</v>
      </c>
      <c r="O15" s="138">
        <f>SUM(C15:N15)</f>
        <v>5853</v>
      </c>
      <c r="P15" s="105">
        <f t="shared" si="1"/>
        <v>487.75</v>
      </c>
      <c r="Q15" s="105"/>
    </row>
    <row r="16" spans="1:18" ht="30" customHeight="1" thickBot="1" x14ac:dyDescent="0.3">
      <c r="A16" s="356" t="s">
        <v>60</v>
      </c>
      <c r="B16" s="357"/>
      <c r="C16" s="65">
        <v>19873</v>
      </c>
      <c r="D16" s="66">
        <v>6590</v>
      </c>
      <c r="E16" s="67">
        <v>0</v>
      </c>
      <c r="F16" s="67">
        <v>0</v>
      </c>
      <c r="G16" s="67">
        <v>0</v>
      </c>
      <c r="H16" s="67">
        <v>0</v>
      </c>
      <c r="I16" s="67">
        <v>0</v>
      </c>
      <c r="J16" s="67">
        <v>0</v>
      </c>
      <c r="K16" s="67">
        <v>0</v>
      </c>
      <c r="L16" s="67">
        <v>0</v>
      </c>
      <c r="M16" s="67">
        <v>0</v>
      </c>
      <c r="N16" s="68">
        <v>0</v>
      </c>
      <c r="O16" s="138">
        <f>SUM(C16:N16)</f>
        <v>26463</v>
      </c>
      <c r="P16" s="105">
        <f>SUM(O16)/2</f>
        <v>13231.5</v>
      </c>
      <c r="Q16" s="105"/>
    </row>
    <row r="17" spans="1:17" ht="28.5" hidden="1" customHeight="1" thickBot="1" x14ac:dyDescent="0.3">
      <c r="A17" s="398" t="s">
        <v>37</v>
      </c>
      <c r="B17" s="399"/>
      <c r="C17" s="65"/>
      <c r="D17" s="66"/>
      <c r="E17" s="67"/>
      <c r="F17" s="67"/>
      <c r="G17" s="67"/>
      <c r="H17" s="67"/>
      <c r="I17" s="67"/>
      <c r="J17" s="67"/>
      <c r="K17" s="67"/>
      <c r="L17" s="67"/>
      <c r="M17" s="67"/>
      <c r="N17" s="68"/>
      <c r="O17" s="140">
        <f t="shared" si="0"/>
        <v>0</v>
      </c>
      <c r="P17" s="105">
        <f t="shared" si="1"/>
        <v>0</v>
      </c>
    </row>
    <row r="18" spans="1:17" ht="30" hidden="1" customHeight="1" thickBot="1" x14ac:dyDescent="0.3">
      <c r="A18" s="384" t="s">
        <v>66</v>
      </c>
      <c r="B18" s="385"/>
      <c r="C18" s="142"/>
      <c r="D18" s="143"/>
      <c r="E18" s="144"/>
      <c r="F18" s="144"/>
      <c r="G18" s="144"/>
      <c r="H18" s="144"/>
      <c r="I18" s="144"/>
      <c r="J18" s="144"/>
      <c r="K18" s="144"/>
      <c r="L18" s="144"/>
      <c r="M18" s="144"/>
      <c r="N18" s="145"/>
      <c r="O18" s="141"/>
      <c r="P18" s="105">
        <f t="shared" si="1"/>
        <v>0</v>
      </c>
    </row>
    <row r="19" spans="1:17" ht="30" customHeight="1" thickBot="1" x14ac:dyDescent="0.3">
      <c r="A19" s="364" t="s">
        <v>67</v>
      </c>
      <c r="B19" s="365"/>
      <c r="C19" s="146">
        <f>SUM(C4:C5,C7:C12,C16)</f>
        <v>4580729</v>
      </c>
      <c r="D19" s="128">
        <f t="shared" ref="D19:N19" si="2">SUM(D4:D5,D7:D12,D16)</f>
        <v>4420288</v>
      </c>
      <c r="E19" s="128">
        <f t="shared" si="2"/>
        <v>5903045</v>
      </c>
      <c r="F19" s="128">
        <f>SUM(F4:F5,F7:F12,F16)</f>
        <v>5705902</v>
      </c>
      <c r="G19" s="128">
        <f t="shared" si="2"/>
        <v>5904404</v>
      </c>
      <c r="H19" s="128">
        <f t="shared" si="2"/>
        <v>6413462</v>
      </c>
      <c r="I19" s="128">
        <f t="shared" si="2"/>
        <v>6403474</v>
      </c>
      <c r="J19" s="128">
        <f t="shared" si="2"/>
        <v>6087454</v>
      </c>
      <c r="K19" s="128">
        <f t="shared" si="2"/>
        <v>6488795</v>
      </c>
      <c r="L19" s="128">
        <f t="shared" si="2"/>
        <v>6676593</v>
      </c>
      <c r="M19" s="128">
        <f t="shared" si="2"/>
        <v>6140891</v>
      </c>
      <c r="N19" s="129">
        <f t="shared" si="2"/>
        <v>5988908</v>
      </c>
      <c r="O19" s="147">
        <f>SUM(C19:N19)</f>
        <v>70713945</v>
      </c>
      <c r="P19" s="105">
        <f>SUM(O19)/12</f>
        <v>5892828.75</v>
      </c>
    </row>
    <row r="20" spans="1:17" ht="37.5" hidden="1" customHeight="1" x14ac:dyDescent="0.25">
      <c r="A20" s="366" t="s">
        <v>20</v>
      </c>
      <c r="B20" s="367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20">
        <f>SUM(C20:N20)</f>
        <v>0</v>
      </c>
    </row>
    <row r="21" spans="1:17" ht="19.5" hidden="1" customHeight="1" thickBot="1" x14ac:dyDescent="0.3">
      <c r="A21" s="368" t="s">
        <v>22</v>
      </c>
      <c r="B21" s="369"/>
      <c r="C21" s="126" t="e">
        <f>SUM(C19)/C20</f>
        <v>#DIV/0!</v>
      </c>
      <c r="D21" s="126" t="e">
        <f t="shared" ref="D21:N21" si="3">SUM(D19)/D20</f>
        <v>#DIV/0!</v>
      </c>
      <c r="E21" s="126" t="e">
        <f t="shared" si="3"/>
        <v>#DIV/0!</v>
      </c>
      <c r="F21" s="126" t="e">
        <f t="shared" si="3"/>
        <v>#DIV/0!</v>
      </c>
      <c r="G21" s="126" t="e">
        <f t="shared" si="3"/>
        <v>#DIV/0!</v>
      </c>
      <c r="H21" s="126" t="e">
        <f t="shared" si="3"/>
        <v>#DIV/0!</v>
      </c>
      <c r="I21" s="126" t="e">
        <f t="shared" si="3"/>
        <v>#DIV/0!</v>
      </c>
      <c r="J21" s="126" t="e">
        <f t="shared" si="3"/>
        <v>#DIV/0!</v>
      </c>
      <c r="K21" s="126" t="e">
        <f t="shared" si="3"/>
        <v>#DIV/0!</v>
      </c>
      <c r="L21" s="126" t="e">
        <f t="shared" si="3"/>
        <v>#DIV/0!</v>
      </c>
      <c r="M21" s="126" t="e">
        <f t="shared" si="3"/>
        <v>#DIV/0!</v>
      </c>
      <c r="N21" s="126" t="e">
        <f t="shared" si="3"/>
        <v>#DIV/0!</v>
      </c>
      <c r="O21" s="127" t="e">
        <f>AVERAGE(C21:N21)</f>
        <v>#DIV/0!</v>
      </c>
      <c r="P21" s="118" t="e">
        <f>O19/O20</f>
        <v>#DIV/0!</v>
      </c>
    </row>
    <row r="22" spans="1:17" ht="16.5" thickTop="1" thickBot="1" x14ac:dyDescent="0.3">
      <c r="A22" s="370"/>
      <c r="B22" s="370"/>
      <c r="C22" s="370"/>
      <c r="D22" s="370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</row>
    <row r="23" spans="1:17" ht="16.5" thickBot="1" x14ac:dyDescent="0.3">
      <c r="A23" s="395" t="s">
        <v>63</v>
      </c>
      <c r="B23" s="396"/>
      <c r="C23" s="397"/>
      <c r="D23" s="362"/>
      <c r="E23" s="363"/>
      <c r="F23" s="363"/>
      <c r="G23" s="363"/>
      <c r="H23" s="363"/>
      <c r="I23" s="363"/>
      <c r="J23" s="363"/>
      <c r="K23" s="363"/>
      <c r="L23" s="363"/>
      <c r="M23" s="363"/>
      <c r="N23" s="363"/>
      <c r="O23" s="363"/>
    </row>
    <row r="24" spans="1:17" x14ac:dyDescent="0.25">
      <c r="C24"/>
      <c r="D24"/>
      <c r="E24"/>
    </row>
    <row r="25" spans="1:17" ht="15.75" hidden="1" thickBot="1" x14ac:dyDescent="0.3"/>
    <row r="26" spans="1:17" ht="15.75" hidden="1" thickBot="1" x14ac:dyDescent="0.3">
      <c r="C26" s="69" t="s">
        <v>24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0" t="s">
        <v>21</v>
      </c>
      <c r="P26" s="7"/>
      <c r="Q26">
        <f>SUM(N4)/N30</f>
        <v>3.0134125986660547</v>
      </c>
    </row>
    <row r="27" spans="1:17" ht="30" hidden="1" x14ac:dyDescent="0.25">
      <c r="A27" s="386" t="s">
        <v>23</v>
      </c>
      <c r="B27" s="71" t="s">
        <v>38</v>
      </c>
      <c r="C27" s="72">
        <v>451143</v>
      </c>
      <c r="D27" s="72">
        <v>451143</v>
      </c>
      <c r="E27" s="72" t="s">
        <v>39</v>
      </c>
      <c r="F27" s="72">
        <v>402240</v>
      </c>
      <c r="G27" s="72">
        <v>402240</v>
      </c>
      <c r="H27" s="72">
        <v>402240</v>
      </c>
      <c r="I27" s="72">
        <v>402240</v>
      </c>
      <c r="J27" s="72">
        <v>402240</v>
      </c>
      <c r="K27" s="72">
        <v>402240</v>
      </c>
      <c r="L27" s="72">
        <v>402240</v>
      </c>
      <c r="M27" s="72">
        <v>402240</v>
      </c>
      <c r="N27" s="73">
        <v>451143</v>
      </c>
      <c r="O27" s="74">
        <f>451143*3.5+402240*8.5</f>
        <v>4998040.5</v>
      </c>
      <c r="P27" s="7">
        <f>SUM(F27:N27,C27:D27)+225572+201120</f>
        <v>4998041</v>
      </c>
      <c r="Q27">
        <f>4998041-4772469</f>
        <v>225572</v>
      </c>
    </row>
    <row r="28" spans="1:17" ht="15.75" hidden="1" x14ac:dyDescent="0.25">
      <c r="A28" s="387"/>
      <c r="B28" s="75" t="s">
        <v>40</v>
      </c>
      <c r="C28" s="76">
        <v>0</v>
      </c>
      <c r="D28" s="76">
        <v>0</v>
      </c>
      <c r="E28" s="76">
        <f>65924/2</f>
        <v>32962</v>
      </c>
      <c r="F28" s="76">
        <v>65924</v>
      </c>
      <c r="G28" s="76">
        <v>65924</v>
      </c>
      <c r="H28" s="76">
        <v>65924</v>
      </c>
      <c r="I28" s="76">
        <v>65924</v>
      </c>
      <c r="J28" s="76">
        <v>65924</v>
      </c>
      <c r="K28" s="76">
        <v>65924</v>
      </c>
      <c r="L28" s="76">
        <v>65924</v>
      </c>
      <c r="M28" s="76">
        <v>65924</v>
      </c>
      <c r="N28" s="77">
        <v>0</v>
      </c>
      <c r="O28" s="78">
        <f>65924*8.5</f>
        <v>560354</v>
      </c>
      <c r="P28" s="7">
        <f>SUM(C28:N28)</f>
        <v>560354</v>
      </c>
    </row>
    <row r="29" spans="1:17" ht="15.75" hidden="1" x14ac:dyDescent="0.25">
      <c r="A29" s="387"/>
      <c r="B29" s="75" t="s">
        <v>41</v>
      </c>
      <c r="C29" s="76"/>
      <c r="D29" s="76">
        <v>0</v>
      </c>
      <c r="E29" s="76">
        <f>74734*31</f>
        <v>2316754</v>
      </c>
      <c r="F29" s="76">
        <f>74734*30</f>
        <v>2242020</v>
      </c>
      <c r="G29" s="76">
        <f>74734*31</f>
        <v>2316754</v>
      </c>
      <c r="H29" s="76">
        <f>74734*30</f>
        <v>2242020</v>
      </c>
      <c r="I29" s="76">
        <f>74734*31</f>
        <v>2316754</v>
      </c>
      <c r="J29" s="76">
        <f>74734*31</f>
        <v>2316754</v>
      </c>
      <c r="K29" s="76">
        <f>74734*30</f>
        <v>2242020</v>
      </c>
      <c r="L29" s="76">
        <f>74734*31</f>
        <v>2316754</v>
      </c>
      <c r="M29" s="76">
        <f>74734*30</f>
        <v>2242020</v>
      </c>
      <c r="N29" s="77">
        <v>0</v>
      </c>
      <c r="O29" s="78">
        <f>SUM(C29:N29)</f>
        <v>20551850</v>
      </c>
      <c r="P29" s="7">
        <f>74737*365</f>
        <v>27279005</v>
      </c>
    </row>
    <row r="30" spans="1:17" ht="15.75" hidden="1" x14ac:dyDescent="0.25">
      <c r="A30" s="387"/>
      <c r="B30" s="79" t="s">
        <v>42</v>
      </c>
      <c r="C30" s="80">
        <f t="shared" ref="C30:O30" si="4">SUM(C27:C29)</f>
        <v>451143</v>
      </c>
      <c r="D30" s="80">
        <f t="shared" si="4"/>
        <v>451143</v>
      </c>
      <c r="E30" s="80">
        <f t="shared" si="4"/>
        <v>2349716</v>
      </c>
      <c r="F30" s="80">
        <f t="shared" si="4"/>
        <v>2710184</v>
      </c>
      <c r="G30" s="80">
        <f t="shared" si="4"/>
        <v>2784918</v>
      </c>
      <c r="H30" s="80">
        <f t="shared" si="4"/>
        <v>2710184</v>
      </c>
      <c r="I30" s="80">
        <f t="shared" si="4"/>
        <v>2784918</v>
      </c>
      <c r="J30" s="80">
        <f t="shared" si="4"/>
        <v>2784918</v>
      </c>
      <c r="K30" s="80">
        <f t="shared" si="4"/>
        <v>2710184</v>
      </c>
      <c r="L30" s="80">
        <f t="shared" si="4"/>
        <v>2784918</v>
      </c>
      <c r="M30" s="80">
        <f t="shared" si="4"/>
        <v>2710184</v>
      </c>
      <c r="N30" s="81">
        <f t="shared" si="4"/>
        <v>451143</v>
      </c>
      <c r="O30" s="82">
        <f t="shared" si="4"/>
        <v>26110244.5</v>
      </c>
      <c r="P30" s="7"/>
    </row>
    <row r="31" spans="1:17" ht="45.75" hidden="1" thickBot="1" x14ac:dyDescent="0.3">
      <c r="A31" s="83" t="s">
        <v>43</v>
      </c>
      <c r="B31" s="84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6"/>
      <c r="O31" s="87"/>
      <c r="P31" s="7"/>
    </row>
    <row r="32" spans="1:17" ht="15.75" hidden="1" x14ac:dyDescent="0.25">
      <c r="A32" s="366" t="s">
        <v>12</v>
      </c>
      <c r="B32" s="88" t="s">
        <v>38</v>
      </c>
      <c r="C32" s="89">
        <v>0</v>
      </c>
      <c r="D32" s="89">
        <v>0</v>
      </c>
      <c r="E32" s="89">
        <f>408785/2</f>
        <v>204392.5</v>
      </c>
      <c r="F32" s="89">
        <v>408785</v>
      </c>
      <c r="G32" s="89">
        <v>408785</v>
      </c>
      <c r="H32" s="89">
        <v>408785</v>
      </c>
      <c r="I32" s="89">
        <v>408785</v>
      </c>
      <c r="J32" s="89">
        <v>408785</v>
      </c>
      <c r="K32" s="89">
        <v>408785</v>
      </c>
      <c r="L32" s="89">
        <v>408785</v>
      </c>
      <c r="M32" s="89">
        <v>408785</v>
      </c>
      <c r="N32" s="90">
        <v>0</v>
      </c>
      <c r="O32" s="74">
        <f>408785*8.5</f>
        <v>3474672.5</v>
      </c>
      <c r="P32" s="7">
        <f>SUM(C32:N32)</f>
        <v>3474672.5</v>
      </c>
    </row>
    <row r="33" spans="1:16" ht="15.75" hidden="1" x14ac:dyDescent="0.25">
      <c r="A33" s="390"/>
      <c r="B33" s="75" t="s">
        <v>40</v>
      </c>
      <c r="C33" s="76">
        <v>0</v>
      </c>
      <c r="D33" s="76">
        <v>0</v>
      </c>
      <c r="E33" s="76">
        <f>65924/2</f>
        <v>32962</v>
      </c>
      <c r="F33" s="76">
        <v>65924</v>
      </c>
      <c r="G33" s="76">
        <v>65924</v>
      </c>
      <c r="H33" s="76">
        <v>65924</v>
      </c>
      <c r="I33" s="76">
        <v>65924</v>
      </c>
      <c r="J33" s="76">
        <v>65924</v>
      </c>
      <c r="K33" s="76">
        <v>65924</v>
      </c>
      <c r="L33" s="76">
        <v>65924</v>
      </c>
      <c r="M33" s="76">
        <v>65924</v>
      </c>
      <c r="N33" s="77">
        <v>0</v>
      </c>
      <c r="O33" s="91">
        <f>65924*8.5</f>
        <v>560354</v>
      </c>
      <c r="P33" s="7">
        <f>SUM(C33:N33)</f>
        <v>560354</v>
      </c>
    </row>
    <row r="34" spans="1:16" ht="15.75" hidden="1" x14ac:dyDescent="0.25">
      <c r="A34" s="390"/>
      <c r="B34" s="75" t="s">
        <v>41</v>
      </c>
      <c r="C34" s="76">
        <v>0</v>
      </c>
      <c r="D34" s="76">
        <v>0</v>
      </c>
      <c r="E34" s="76">
        <f>74734*31</f>
        <v>2316754</v>
      </c>
      <c r="F34" s="76">
        <f>74734*30</f>
        <v>2242020</v>
      </c>
      <c r="G34" s="76">
        <f>74734*31</f>
        <v>2316754</v>
      </c>
      <c r="H34" s="76">
        <f>74734*30</f>
        <v>2242020</v>
      </c>
      <c r="I34" s="76">
        <f>74734*31</f>
        <v>2316754</v>
      </c>
      <c r="J34" s="76">
        <f>74734*31</f>
        <v>2316754</v>
      </c>
      <c r="K34" s="76">
        <f>74734*30</f>
        <v>2242020</v>
      </c>
      <c r="L34" s="76">
        <f>74734*31</f>
        <v>2316754</v>
      </c>
      <c r="M34" s="76">
        <f>74734*30</f>
        <v>2242020</v>
      </c>
      <c r="N34" s="77">
        <v>0</v>
      </c>
      <c r="O34" s="91">
        <f>SUM(C34:N34)</f>
        <v>20551850</v>
      </c>
      <c r="P34" s="7">
        <f>74737*365</f>
        <v>27279005</v>
      </c>
    </row>
    <row r="35" spans="1:16" ht="16.5" hidden="1" thickBot="1" x14ac:dyDescent="0.3">
      <c r="A35" s="391"/>
      <c r="B35" s="92" t="s">
        <v>42</v>
      </c>
      <c r="C35" s="93">
        <f>SUM(C32:C34)</f>
        <v>0</v>
      </c>
      <c r="D35" s="93">
        <f t="shared" ref="D35:N35" si="5">SUM(D32:D34)</f>
        <v>0</v>
      </c>
      <c r="E35" s="93">
        <f t="shared" si="5"/>
        <v>2554108.5</v>
      </c>
      <c r="F35" s="93">
        <f t="shared" si="5"/>
        <v>2716729</v>
      </c>
      <c r="G35" s="93">
        <f t="shared" si="5"/>
        <v>2791463</v>
      </c>
      <c r="H35" s="93">
        <f t="shared" si="5"/>
        <v>2716729</v>
      </c>
      <c r="I35" s="93">
        <f t="shared" si="5"/>
        <v>2791463</v>
      </c>
      <c r="J35" s="93">
        <f t="shared" si="5"/>
        <v>2791463</v>
      </c>
      <c r="K35" s="93">
        <f t="shared" si="5"/>
        <v>2716729</v>
      </c>
      <c r="L35" s="93">
        <f t="shared" si="5"/>
        <v>2791463</v>
      </c>
      <c r="M35" s="93">
        <f t="shared" si="5"/>
        <v>2716729</v>
      </c>
      <c r="N35" s="93">
        <f t="shared" si="5"/>
        <v>0</v>
      </c>
      <c r="O35" s="87">
        <f>SUM(O32:O34)</f>
        <v>24586876.5</v>
      </c>
      <c r="P35" s="7"/>
    </row>
    <row r="36" spans="1:16" ht="15.75" hidden="1" x14ac:dyDescent="0.25">
      <c r="A36" s="392" t="s">
        <v>36</v>
      </c>
      <c r="B36" s="71" t="s">
        <v>38</v>
      </c>
      <c r="C36" s="72">
        <v>200087</v>
      </c>
      <c r="D36" s="72">
        <v>200087</v>
      </c>
      <c r="E36" s="72">
        <v>200087</v>
      </c>
      <c r="F36" s="72">
        <v>200087</v>
      </c>
      <c r="G36" s="72">
        <v>200087</v>
      </c>
      <c r="H36" s="72">
        <v>200087</v>
      </c>
      <c r="I36" s="72">
        <v>200087</v>
      </c>
      <c r="J36" s="72">
        <v>200087</v>
      </c>
      <c r="K36" s="72">
        <v>200087</v>
      </c>
      <c r="L36" s="72">
        <v>200087</v>
      </c>
      <c r="M36" s="72">
        <v>200087</v>
      </c>
      <c r="N36" s="72">
        <v>200087</v>
      </c>
      <c r="O36" s="74">
        <f>200087*12</f>
        <v>2401044</v>
      </c>
      <c r="P36" s="7"/>
    </row>
    <row r="37" spans="1:16" ht="15.75" hidden="1" x14ac:dyDescent="0.25">
      <c r="A37" s="393"/>
      <c r="B37" s="75" t="s">
        <v>40</v>
      </c>
      <c r="C37" s="76">
        <v>123117</v>
      </c>
      <c r="D37" s="76">
        <v>123117</v>
      </c>
      <c r="E37" s="76">
        <v>123117</v>
      </c>
      <c r="F37" s="76">
        <v>123117</v>
      </c>
      <c r="G37" s="76">
        <v>123117</v>
      </c>
      <c r="H37" s="76">
        <v>123117</v>
      </c>
      <c r="I37" s="76">
        <v>123117</v>
      </c>
      <c r="J37" s="76">
        <v>123117</v>
      </c>
      <c r="K37" s="76">
        <v>123117</v>
      </c>
      <c r="L37" s="76">
        <v>123117</v>
      </c>
      <c r="M37" s="76">
        <v>123117</v>
      </c>
      <c r="N37" s="76">
        <v>123117</v>
      </c>
      <c r="O37" s="91">
        <f>123117*12</f>
        <v>1477404</v>
      </c>
      <c r="P37" s="7"/>
    </row>
    <row r="38" spans="1:16" ht="16.5" hidden="1" thickBot="1" x14ac:dyDescent="0.3">
      <c r="A38" s="394"/>
      <c r="B38" s="92" t="s">
        <v>42</v>
      </c>
      <c r="C38" s="93">
        <f>SUM(C36:C37)</f>
        <v>323204</v>
      </c>
      <c r="D38" s="93">
        <f t="shared" ref="D38:N38" si="6">SUM(D36:D37)</f>
        <v>323204</v>
      </c>
      <c r="E38" s="93">
        <f t="shared" si="6"/>
        <v>323204</v>
      </c>
      <c r="F38" s="93">
        <f t="shared" si="6"/>
        <v>323204</v>
      </c>
      <c r="G38" s="93">
        <f t="shared" si="6"/>
        <v>323204</v>
      </c>
      <c r="H38" s="93">
        <f t="shared" si="6"/>
        <v>323204</v>
      </c>
      <c r="I38" s="93">
        <f t="shared" si="6"/>
        <v>323204</v>
      </c>
      <c r="J38" s="93">
        <f t="shared" si="6"/>
        <v>323204</v>
      </c>
      <c r="K38" s="93">
        <f t="shared" si="6"/>
        <v>323204</v>
      </c>
      <c r="L38" s="93">
        <f t="shared" si="6"/>
        <v>323204</v>
      </c>
      <c r="M38" s="93">
        <f t="shared" si="6"/>
        <v>323204</v>
      </c>
      <c r="N38" s="93">
        <f t="shared" si="6"/>
        <v>323204</v>
      </c>
      <c r="O38" s="87">
        <f>SUM(O36:O37)</f>
        <v>3878448</v>
      </c>
      <c r="P38" s="7">
        <f>SUM(C38:N38)</f>
        <v>3878448</v>
      </c>
    </row>
    <row r="39" spans="1:16" ht="45.75" hidden="1" customHeight="1" thickBot="1" x14ac:dyDescent="0.3">
      <c r="A39" s="388" t="s">
        <v>44</v>
      </c>
      <c r="B39" s="389"/>
      <c r="C39" s="94">
        <v>718246</v>
      </c>
      <c r="D39" s="94">
        <v>2257823</v>
      </c>
      <c r="E39" s="95">
        <f>74734*31</f>
        <v>2316754</v>
      </c>
      <c r="F39" s="95">
        <f>74734*30</f>
        <v>2242020</v>
      </c>
      <c r="G39" s="95">
        <f>74734*31</f>
        <v>2316754</v>
      </c>
      <c r="H39" s="95">
        <f>74734*30</f>
        <v>2242020</v>
      </c>
      <c r="I39" s="95">
        <f>74734*31</f>
        <v>2316754</v>
      </c>
      <c r="J39" s="95">
        <f>74734*31</f>
        <v>2316754</v>
      </c>
      <c r="K39" s="95">
        <f>74734*30</f>
        <v>2242020</v>
      </c>
      <c r="L39" s="95">
        <f>74734*31</f>
        <v>2316754</v>
      </c>
      <c r="M39" s="95">
        <f>74734*30</f>
        <v>2242020</v>
      </c>
      <c r="N39" s="96">
        <f>74734*31</f>
        <v>2316754</v>
      </c>
      <c r="O39" s="97">
        <f>SUM(C39:N39)</f>
        <v>25844673</v>
      </c>
      <c r="P39" s="7"/>
    </row>
    <row r="40" spans="1:16" ht="45.75" hidden="1" customHeight="1" thickBot="1" x14ac:dyDescent="0.3">
      <c r="A40" s="388" t="s">
        <v>45</v>
      </c>
      <c r="B40" s="389"/>
      <c r="C40" s="95">
        <v>78406</v>
      </c>
      <c r="D40" s="95">
        <v>78406</v>
      </c>
      <c r="E40" s="95">
        <v>78406</v>
      </c>
      <c r="F40" s="95">
        <v>78406</v>
      </c>
      <c r="G40" s="95">
        <v>78406</v>
      </c>
      <c r="H40" s="95">
        <v>78406</v>
      </c>
      <c r="I40" s="95">
        <v>78406</v>
      </c>
      <c r="J40" s="95">
        <v>78406</v>
      </c>
      <c r="K40" s="95">
        <v>78406</v>
      </c>
      <c r="L40" s="95">
        <v>78406</v>
      </c>
      <c r="M40" s="95">
        <v>78406</v>
      </c>
      <c r="N40" s="95">
        <v>78406</v>
      </c>
      <c r="O40" s="97">
        <f>SUM(C40:N40)</f>
        <v>940872</v>
      </c>
      <c r="P40" s="7"/>
    </row>
    <row r="41" spans="1:16" ht="30" hidden="1" customHeight="1" x14ac:dyDescent="0.25">
      <c r="A41" s="393" t="s">
        <v>46</v>
      </c>
      <c r="B41" s="88" t="s">
        <v>38</v>
      </c>
      <c r="C41" s="89">
        <v>341775</v>
      </c>
      <c r="D41" s="89">
        <v>341775</v>
      </c>
      <c r="E41" s="89">
        <v>341775</v>
      </c>
      <c r="F41" s="89">
        <v>341775</v>
      </c>
      <c r="G41" s="89">
        <v>341775</v>
      </c>
      <c r="H41" s="89">
        <v>341775</v>
      </c>
      <c r="I41" s="89">
        <v>341775</v>
      </c>
      <c r="J41" s="89">
        <v>341775</v>
      </c>
      <c r="K41" s="89">
        <v>341775</v>
      </c>
      <c r="L41" s="89">
        <v>341775</v>
      </c>
      <c r="M41" s="89">
        <v>341775</v>
      </c>
      <c r="N41" s="89">
        <v>341775</v>
      </c>
      <c r="O41" s="78">
        <f>SUM(C41:N41)</f>
        <v>4101300</v>
      </c>
      <c r="P41" s="7"/>
    </row>
    <row r="42" spans="1:16" ht="15.75" hidden="1" x14ac:dyDescent="0.25">
      <c r="A42" s="393"/>
      <c r="B42" s="75" t="s">
        <v>40</v>
      </c>
      <c r="C42" s="76">
        <v>136710</v>
      </c>
      <c r="D42" s="76">
        <v>136710</v>
      </c>
      <c r="E42" s="76">
        <v>136710</v>
      </c>
      <c r="F42" s="76">
        <v>136710</v>
      </c>
      <c r="G42" s="76">
        <v>136710</v>
      </c>
      <c r="H42" s="76">
        <v>136710</v>
      </c>
      <c r="I42" s="76">
        <v>136710</v>
      </c>
      <c r="J42" s="76">
        <v>136710</v>
      </c>
      <c r="K42" s="76">
        <v>136710</v>
      </c>
      <c r="L42" s="76">
        <v>136710</v>
      </c>
      <c r="M42" s="76">
        <v>136710</v>
      </c>
      <c r="N42" s="76">
        <v>136710</v>
      </c>
      <c r="O42" s="91">
        <f>SUM(C42:N42)</f>
        <v>1640520</v>
      </c>
      <c r="P42" s="7"/>
    </row>
    <row r="43" spans="1:16" ht="16.5" hidden="1" thickBot="1" x14ac:dyDescent="0.3">
      <c r="A43" s="394"/>
      <c r="B43" s="98" t="s">
        <v>42</v>
      </c>
      <c r="C43" s="93">
        <f>SUM(C41:C42)</f>
        <v>478485</v>
      </c>
      <c r="D43" s="93">
        <f t="shared" ref="D43:N43" si="7">SUM(D41:D42)</f>
        <v>478485</v>
      </c>
      <c r="E43" s="93">
        <f t="shared" si="7"/>
        <v>478485</v>
      </c>
      <c r="F43" s="93">
        <f t="shared" si="7"/>
        <v>478485</v>
      </c>
      <c r="G43" s="93">
        <f t="shared" si="7"/>
        <v>478485</v>
      </c>
      <c r="H43" s="93">
        <f t="shared" si="7"/>
        <v>478485</v>
      </c>
      <c r="I43" s="93">
        <f t="shared" si="7"/>
        <v>478485</v>
      </c>
      <c r="J43" s="93">
        <f t="shared" si="7"/>
        <v>478485</v>
      </c>
      <c r="K43" s="93">
        <f t="shared" si="7"/>
        <v>478485</v>
      </c>
      <c r="L43" s="93">
        <f t="shared" si="7"/>
        <v>478485</v>
      </c>
      <c r="M43" s="93">
        <f t="shared" si="7"/>
        <v>478485</v>
      </c>
      <c r="N43" s="93">
        <f t="shared" si="7"/>
        <v>478485</v>
      </c>
      <c r="O43" s="99">
        <f>SUM(O41:O42)</f>
        <v>5741820</v>
      </c>
      <c r="P43" s="7">
        <f>SUM(C43:N43)</f>
        <v>5741820</v>
      </c>
    </row>
    <row r="44" spans="1:16" ht="30.75" hidden="1" customHeight="1" thickBot="1" x14ac:dyDescent="0.3">
      <c r="A44" s="388" t="s">
        <v>47</v>
      </c>
      <c r="B44" s="389"/>
      <c r="C44" s="95">
        <v>47440</v>
      </c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6">
        <v>0</v>
      </c>
      <c r="O44" s="99">
        <f>SUM(C44:N44)</f>
        <v>47440</v>
      </c>
      <c r="P44" s="7"/>
    </row>
    <row r="45" spans="1:16" ht="30.75" hidden="1" customHeight="1" thickBot="1" x14ac:dyDescent="0.3">
      <c r="A45" s="388" t="s">
        <v>48</v>
      </c>
      <c r="B45" s="389"/>
      <c r="C45" s="100" t="s">
        <v>25</v>
      </c>
      <c r="D45" s="100" t="s">
        <v>25</v>
      </c>
      <c r="E45" s="100" t="s">
        <v>25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 t="s">
        <v>25</v>
      </c>
      <c r="N45" s="101" t="s">
        <v>25</v>
      </c>
      <c r="O45" s="99"/>
      <c r="P45" s="7"/>
    </row>
    <row r="46" spans="1:16" ht="30.75" hidden="1" thickBot="1" x14ac:dyDescent="0.3">
      <c r="A46" s="388" t="s">
        <v>49</v>
      </c>
      <c r="B46" s="389"/>
      <c r="C46" s="100" t="s">
        <v>26</v>
      </c>
      <c r="D46" s="100" t="s">
        <v>26</v>
      </c>
      <c r="E46" s="100" t="s">
        <v>26</v>
      </c>
      <c r="F46" s="100" t="s">
        <v>26</v>
      </c>
      <c r="G46" s="100" t="s">
        <v>26</v>
      </c>
      <c r="H46" s="100" t="s">
        <v>26</v>
      </c>
      <c r="I46" s="100" t="s">
        <v>26</v>
      </c>
      <c r="J46" s="100" t="s">
        <v>26</v>
      </c>
      <c r="K46" s="100" t="s">
        <v>26</v>
      </c>
      <c r="L46" s="100" t="s">
        <v>26</v>
      </c>
      <c r="M46" s="100" t="s">
        <v>26</v>
      </c>
      <c r="N46" s="101" t="s">
        <v>26</v>
      </c>
      <c r="O46" s="87"/>
      <c r="P46" s="7"/>
    </row>
    <row r="47" spans="1:16" ht="16.5" hidden="1" thickBot="1" x14ac:dyDescent="0.3">
      <c r="C47" s="102">
        <f>SUM(C30,C35,C38,C39,C40,C43,C44)</f>
        <v>2096924</v>
      </c>
      <c r="D47" s="102">
        <f>SUM(D30,D35,D38,D39,D40,D43,D44)</f>
        <v>3589061</v>
      </c>
      <c r="E47" s="102">
        <f>SUM(E30,E35,E38,E39,E40,E43,E44)</f>
        <v>8100673.5</v>
      </c>
      <c r="F47" s="102">
        <f t="shared" ref="F47:L47" si="8">SUM(F30,F35,F38,F39,F40,F43,F44,F45)</f>
        <v>8549028</v>
      </c>
      <c r="G47" s="102">
        <f t="shared" si="8"/>
        <v>8773230</v>
      </c>
      <c r="H47" s="102">
        <f t="shared" si="8"/>
        <v>8549028</v>
      </c>
      <c r="I47" s="102">
        <f t="shared" si="8"/>
        <v>8773230</v>
      </c>
      <c r="J47" s="102">
        <f t="shared" si="8"/>
        <v>8773230</v>
      </c>
      <c r="K47" s="102">
        <f t="shared" si="8"/>
        <v>8549028</v>
      </c>
      <c r="L47" s="102">
        <f t="shared" si="8"/>
        <v>8773230</v>
      </c>
      <c r="M47" s="102">
        <f>SUM(M30,M35,M38,M39,M40,M43,M44)</f>
        <v>8549028</v>
      </c>
      <c r="N47" s="103">
        <f>SUM(N30,N35,N38,N39,N40,N43,N44)</f>
        <v>3647992</v>
      </c>
      <c r="O47" s="104"/>
      <c r="P47" s="105"/>
    </row>
    <row r="48" spans="1:16" hidden="1" x14ac:dyDescent="0.2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x14ac:dyDescent="0.2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x14ac:dyDescent="0.25">
      <c r="A50" s="383" t="s">
        <v>69</v>
      </c>
      <c r="B50" s="383"/>
      <c r="C50" s="383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x14ac:dyDescent="0.2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 x14ac:dyDescent="0.2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x14ac:dyDescent="0.2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x14ac:dyDescent="0.2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</sheetData>
  <mergeCells count="34">
    <mergeCell ref="A6:B6"/>
    <mergeCell ref="A50:C50"/>
    <mergeCell ref="A18:B18"/>
    <mergeCell ref="A27:A30"/>
    <mergeCell ref="A44:B44"/>
    <mergeCell ref="A45:B45"/>
    <mergeCell ref="A46:B46"/>
    <mergeCell ref="A32:A35"/>
    <mergeCell ref="A36:A38"/>
    <mergeCell ref="A39:B39"/>
    <mergeCell ref="A40:B40"/>
    <mergeCell ref="A41:A43"/>
    <mergeCell ref="A23:C23"/>
    <mergeCell ref="A14:B14"/>
    <mergeCell ref="A16:B16"/>
    <mergeCell ref="A17:B17"/>
    <mergeCell ref="A1:O1"/>
    <mergeCell ref="A2:O2"/>
    <mergeCell ref="A3:B3"/>
    <mergeCell ref="A4:B4"/>
    <mergeCell ref="A5:B5"/>
    <mergeCell ref="D23:O23"/>
    <mergeCell ref="A19:B19"/>
    <mergeCell ref="A20:B20"/>
    <mergeCell ref="A21:B21"/>
    <mergeCell ref="A22:O22"/>
    <mergeCell ref="A15:B15"/>
    <mergeCell ref="A13:B13"/>
    <mergeCell ref="A10:B10"/>
    <mergeCell ref="A7:B7"/>
    <mergeCell ref="A8:B8"/>
    <mergeCell ref="A9:B9"/>
    <mergeCell ref="A11:B11"/>
    <mergeCell ref="A12:B12"/>
  </mergeCells>
  <printOptions horizontalCentered="1"/>
  <pageMargins left="0" right="0" top="0.59055118110236227" bottom="0" header="0.31496062992125984" footer="0.31496062992125984"/>
  <pageSetup paperSize="9" scale="55" orientation="landscape" r:id="rId1"/>
  <colBreaks count="1" manualBreakCount="1">
    <brk id="16" min="1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7"/>
  <sheetViews>
    <sheetView topLeftCell="A2" zoomScaleNormal="100" workbookViewId="0">
      <pane xSplit="2" ySplit="2" topLeftCell="C4" activePane="bottomRight" state="frozen"/>
      <selection activeCell="A2" sqref="A2"/>
      <selection pane="topRight" activeCell="C2" sqref="C2"/>
      <selection pane="bottomLeft" activeCell="A4" sqref="A4"/>
      <selection pane="bottomRight" activeCell="G24" sqref="G24"/>
    </sheetView>
  </sheetViews>
  <sheetFormatPr defaultRowHeight="15" x14ac:dyDescent="0.25"/>
  <cols>
    <col min="1" max="1" width="26.28515625" customWidth="1"/>
    <col min="2" max="2" width="10.7109375" customWidth="1"/>
    <col min="3" max="14" width="14.7109375" style="1" customWidth="1"/>
    <col min="15" max="15" width="15.5703125" customWidth="1"/>
    <col min="16" max="16" width="21.28515625" customWidth="1"/>
    <col min="17" max="17" width="18.5703125" customWidth="1"/>
    <col min="18" max="18" width="10.42578125" bestFit="1" customWidth="1"/>
  </cols>
  <sheetData>
    <row r="1" spans="1:18" ht="28.5" hidden="1" customHeight="1" x14ac:dyDescent="0.4">
      <c r="A1" s="371" t="s">
        <v>27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3"/>
    </row>
    <row r="2" spans="1:18" ht="30" customHeight="1" thickTop="1" thickBot="1" x14ac:dyDescent="0.3">
      <c r="A2" s="374" t="s">
        <v>70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6"/>
    </row>
    <row r="3" spans="1:18" ht="20.100000000000001" customHeight="1" thickBot="1" x14ac:dyDescent="0.3">
      <c r="A3" s="377" t="s">
        <v>18</v>
      </c>
      <c r="B3" s="378"/>
      <c r="C3" s="51" t="s">
        <v>0</v>
      </c>
      <c r="D3" s="52" t="s">
        <v>1</v>
      </c>
      <c r="E3" s="52" t="s">
        <v>2</v>
      </c>
      <c r="F3" s="52" t="s">
        <v>3</v>
      </c>
      <c r="G3" s="52" t="s">
        <v>4</v>
      </c>
      <c r="H3" s="52" t="s">
        <v>5</v>
      </c>
      <c r="I3" s="52" t="s">
        <v>6</v>
      </c>
      <c r="J3" s="52" t="s">
        <v>7</v>
      </c>
      <c r="K3" s="52" t="s">
        <v>8</v>
      </c>
      <c r="L3" s="52" t="s">
        <v>9</v>
      </c>
      <c r="M3" s="52" t="s">
        <v>10</v>
      </c>
      <c r="N3" s="53" t="s">
        <v>11</v>
      </c>
      <c r="O3" s="177" t="s">
        <v>21</v>
      </c>
      <c r="P3" s="235" t="s">
        <v>85</v>
      </c>
    </row>
    <row r="4" spans="1:18" ht="30" customHeight="1" thickTop="1" x14ac:dyDescent="0.25">
      <c r="A4" s="379" t="s">
        <v>52</v>
      </c>
      <c r="B4" s="380"/>
      <c r="C4" s="54">
        <v>1562903</v>
      </c>
      <c r="D4" s="55">
        <v>994342</v>
      </c>
      <c r="E4" s="56">
        <v>653869</v>
      </c>
      <c r="F4" s="56">
        <v>746722</v>
      </c>
      <c r="G4" s="56">
        <v>1169494</v>
      </c>
      <c r="H4" s="57">
        <v>660920</v>
      </c>
      <c r="I4" s="57">
        <v>1209523</v>
      </c>
      <c r="J4" s="57">
        <v>1043132</v>
      </c>
      <c r="K4" s="57">
        <v>1317634</v>
      </c>
      <c r="L4" s="57">
        <v>1462557</v>
      </c>
      <c r="M4" s="57">
        <v>1136620</v>
      </c>
      <c r="N4" s="58">
        <v>145110</v>
      </c>
      <c r="O4" s="178">
        <f t="shared" ref="O4:O16" si="0">SUM(C4:N4)</f>
        <v>12102826</v>
      </c>
      <c r="P4" s="236">
        <f>SUM(O4)/12</f>
        <v>1008568.8333333334</v>
      </c>
      <c r="Q4" s="105"/>
    </row>
    <row r="5" spans="1:18" ht="30" customHeight="1" x14ac:dyDescent="0.25">
      <c r="A5" s="381" t="s">
        <v>53</v>
      </c>
      <c r="B5" s="382"/>
      <c r="C5" s="59">
        <v>540893</v>
      </c>
      <c r="D5" s="60">
        <v>571382</v>
      </c>
      <c r="E5" s="57">
        <v>797255</v>
      </c>
      <c r="F5" s="57">
        <v>692134</v>
      </c>
      <c r="G5" s="57">
        <v>764377</v>
      </c>
      <c r="H5" s="57">
        <v>994965</v>
      </c>
      <c r="I5" s="57">
        <v>613522</v>
      </c>
      <c r="J5" s="57">
        <v>823122</v>
      </c>
      <c r="K5" s="57">
        <v>751111</v>
      </c>
      <c r="L5" s="57">
        <v>719173</v>
      </c>
      <c r="M5" s="57">
        <v>880532</v>
      </c>
      <c r="N5" s="58">
        <v>941739</v>
      </c>
      <c r="O5" s="179">
        <f t="shared" si="0"/>
        <v>9090205</v>
      </c>
      <c r="P5" s="237">
        <f>SUM(O5)/12</f>
        <v>757517.08333333337</v>
      </c>
      <c r="Q5" s="105"/>
    </row>
    <row r="6" spans="1:18" ht="30" customHeight="1" x14ac:dyDescent="0.25">
      <c r="A6" s="381" t="s">
        <v>61</v>
      </c>
      <c r="B6" s="382"/>
      <c r="C6" s="59">
        <v>0</v>
      </c>
      <c r="D6" s="60">
        <v>0</v>
      </c>
      <c r="E6" s="57">
        <v>0</v>
      </c>
      <c r="F6" s="57">
        <v>0</v>
      </c>
      <c r="G6" s="57">
        <v>1</v>
      </c>
      <c r="H6" s="57">
        <v>1</v>
      </c>
      <c r="I6" s="57">
        <v>0</v>
      </c>
      <c r="J6" s="57">
        <v>0</v>
      </c>
      <c r="K6" s="57">
        <v>0</v>
      </c>
      <c r="L6" s="57">
        <v>0</v>
      </c>
      <c r="M6" s="57">
        <v>0</v>
      </c>
      <c r="N6" s="58">
        <v>0</v>
      </c>
      <c r="O6" s="179">
        <f t="shared" si="0"/>
        <v>2</v>
      </c>
      <c r="P6" s="237">
        <f>SUM(O6)/2</f>
        <v>1</v>
      </c>
      <c r="Q6" s="105"/>
    </row>
    <row r="7" spans="1:18" ht="30" customHeight="1" x14ac:dyDescent="0.25">
      <c r="A7" s="356" t="s">
        <v>54</v>
      </c>
      <c r="B7" s="357"/>
      <c r="C7" s="63">
        <v>40072</v>
      </c>
      <c r="D7" s="64">
        <v>388471</v>
      </c>
      <c r="E7" s="61">
        <v>620991</v>
      </c>
      <c r="F7" s="61">
        <v>1261375</v>
      </c>
      <c r="G7" s="61">
        <v>1747178</v>
      </c>
      <c r="H7" s="61">
        <v>1708845</v>
      </c>
      <c r="I7" s="61">
        <v>1773525</v>
      </c>
      <c r="J7" s="61">
        <v>1963651</v>
      </c>
      <c r="K7" s="61">
        <v>1764591</v>
      </c>
      <c r="L7" s="61">
        <v>1902840</v>
      </c>
      <c r="M7" s="61">
        <v>1519290</v>
      </c>
      <c r="N7" s="62">
        <v>146571</v>
      </c>
      <c r="O7" s="179">
        <f t="shared" si="0"/>
        <v>14837400</v>
      </c>
      <c r="P7" s="237">
        <f>SUM(O7)/12</f>
        <v>1236450</v>
      </c>
      <c r="Q7" s="105"/>
    </row>
    <row r="8" spans="1:18" ht="30" customHeight="1" x14ac:dyDescent="0.25">
      <c r="A8" s="356" t="s">
        <v>55</v>
      </c>
      <c r="B8" s="357"/>
      <c r="C8" s="63">
        <v>1156220</v>
      </c>
      <c r="D8" s="64">
        <v>1251020</v>
      </c>
      <c r="E8" s="61">
        <v>1408520</v>
      </c>
      <c r="F8" s="61">
        <v>1027540</v>
      </c>
      <c r="G8" s="61">
        <v>855700</v>
      </c>
      <c r="H8" s="61">
        <v>927280</v>
      </c>
      <c r="I8" s="61">
        <v>920833</v>
      </c>
      <c r="J8" s="61">
        <v>768900</v>
      </c>
      <c r="K8" s="61">
        <v>871200</v>
      </c>
      <c r="L8" s="61">
        <v>732680</v>
      </c>
      <c r="M8" s="61">
        <v>857120</v>
      </c>
      <c r="N8" s="62">
        <v>1273500</v>
      </c>
      <c r="O8" s="179">
        <f t="shared" si="0"/>
        <v>12050513</v>
      </c>
      <c r="P8" s="237">
        <f>SUM(O8)/12</f>
        <v>1004209.4166666666</v>
      </c>
      <c r="Q8" s="105"/>
    </row>
    <row r="9" spans="1:18" ht="30" customHeight="1" x14ac:dyDescent="0.25">
      <c r="A9" s="356" t="s">
        <v>56</v>
      </c>
      <c r="B9" s="357"/>
      <c r="C9" s="63">
        <v>2316847</v>
      </c>
      <c r="D9" s="64">
        <v>2092636</v>
      </c>
      <c r="E9" s="61">
        <v>2316847</v>
      </c>
      <c r="F9" s="61">
        <v>2242110</v>
      </c>
      <c r="G9" s="61">
        <v>2316847</v>
      </c>
      <c r="H9" s="61">
        <v>2242110</v>
      </c>
      <c r="I9" s="61">
        <v>2316847</v>
      </c>
      <c r="J9" s="61">
        <v>2316847</v>
      </c>
      <c r="K9" s="61">
        <v>2901360</v>
      </c>
      <c r="L9" s="61">
        <v>2316847</v>
      </c>
      <c r="M9" s="61">
        <v>2242110</v>
      </c>
      <c r="N9" s="62">
        <v>2316847</v>
      </c>
      <c r="O9" s="179">
        <f t="shared" si="0"/>
        <v>27938255</v>
      </c>
      <c r="P9" s="237">
        <f>SUM(O9)/12</f>
        <v>2328187.9166666665</v>
      </c>
      <c r="Q9" s="105"/>
      <c r="R9" s="8"/>
    </row>
    <row r="10" spans="1:18" ht="30" customHeight="1" x14ac:dyDescent="0.25">
      <c r="A10" s="412" t="s">
        <v>84</v>
      </c>
      <c r="B10" s="413"/>
      <c r="C10" s="216">
        <v>260300</v>
      </c>
      <c r="D10" s="217">
        <v>222971</v>
      </c>
      <c r="E10" s="217">
        <v>398305</v>
      </c>
      <c r="F10" s="217">
        <v>430199</v>
      </c>
      <c r="G10" s="217">
        <v>593513</v>
      </c>
      <c r="H10" s="217">
        <v>781430</v>
      </c>
      <c r="I10" s="217">
        <v>585822</v>
      </c>
      <c r="J10" s="217">
        <v>846876</v>
      </c>
      <c r="K10" s="217">
        <v>1093195</v>
      </c>
      <c r="L10" s="217">
        <v>1139757</v>
      </c>
      <c r="M10" s="217">
        <v>1074921</v>
      </c>
      <c r="N10" s="218">
        <v>819374</v>
      </c>
      <c r="O10" s="179">
        <f t="shared" si="0"/>
        <v>8246663</v>
      </c>
      <c r="P10" s="237">
        <f>O10/12</f>
        <v>687221.91666666663</v>
      </c>
      <c r="Q10" s="105"/>
      <c r="R10" s="8"/>
    </row>
    <row r="11" spans="1:18" ht="30" customHeight="1" x14ac:dyDescent="0.25">
      <c r="A11" s="356" t="s">
        <v>57</v>
      </c>
      <c r="B11" s="357"/>
      <c r="C11" s="63">
        <v>82584</v>
      </c>
      <c r="D11" s="64">
        <v>82584</v>
      </c>
      <c r="E11" s="64">
        <v>82584</v>
      </c>
      <c r="F11" s="61">
        <v>99005</v>
      </c>
      <c r="G11" s="61">
        <v>92907</v>
      </c>
      <c r="H11" s="61">
        <v>92907</v>
      </c>
      <c r="I11" s="61">
        <v>103230</v>
      </c>
      <c r="J11" s="61">
        <v>82584</v>
      </c>
      <c r="K11" s="61">
        <v>82584</v>
      </c>
      <c r="L11" s="61">
        <v>103230</v>
      </c>
      <c r="M11" s="61">
        <v>92123</v>
      </c>
      <c r="N11" s="62">
        <v>103230</v>
      </c>
      <c r="O11" s="179">
        <f t="shared" si="0"/>
        <v>1099552</v>
      </c>
      <c r="P11" s="237">
        <f>SUM(O11)/12</f>
        <v>91629.333333333328</v>
      </c>
      <c r="Q11" s="105"/>
      <c r="R11" s="8"/>
    </row>
    <row r="12" spans="1:18" ht="30" customHeight="1" x14ac:dyDescent="0.25">
      <c r="A12" s="356" t="s">
        <v>58</v>
      </c>
      <c r="B12" s="357"/>
      <c r="C12" s="121">
        <v>989120</v>
      </c>
      <c r="D12" s="64">
        <v>941432</v>
      </c>
      <c r="E12" s="61">
        <v>1047440</v>
      </c>
      <c r="F12" s="61">
        <v>847380</v>
      </c>
      <c r="G12" s="61">
        <v>550800</v>
      </c>
      <c r="H12" s="61">
        <v>570720</v>
      </c>
      <c r="I12" s="61">
        <v>644640</v>
      </c>
      <c r="J12" s="61">
        <v>516240</v>
      </c>
      <c r="K12" s="61">
        <v>779520</v>
      </c>
      <c r="L12" s="61">
        <v>468080</v>
      </c>
      <c r="M12" s="61">
        <v>897440</v>
      </c>
      <c r="N12" s="62">
        <v>1043380</v>
      </c>
      <c r="O12" s="179">
        <f t="shared" si="0"/>
        <v>9296192</v>
      </c>
      <c r="P12" s="237">
        <f>SUM(O12)/12</f>
        <v>774682.66666666663</v>
      </c>
      <c r="Q12" s="105"/>
      <c r="R12" s="8"/>
    </row>
    <row r="13" spans="1:18" ht="30" customHeight="1" x14ac:dyDescent="0.25">
      <c r="A13" s="414" t="s">
        <v>65</v>
      </c>
      <c r="B13" s="415"/>
      <c r="C13" s="169">
        <v>0</v>
      </c>
      <c r="D13" s="170">
        <v>0</v>
      </c>
      <c r="E13" s="170">
        <v>0</v>
      </c>
      <c r="F13" s="182">
        <v>312276</v>
      </c>
      <c r="G13" s="181">
        <v>0</v>
      </c>
      <c r="H13" s="170">
        <v>0</v>
      </c>
      <c r="I13" s="170">
        <v>0</v>
      </c>
      <c r="J13" s="170">
        <v>0</v>
      </c>
      <c r="K13" s="170">
        <v>355919</v>
      </c>
      <c r="L13" s="202">
        <v>0</v>
      </c>
      <c r="M13" s="202">
        <v>0</v>
      </c>
      <c r="N13" s="210">
        <v>310694</v>
      </c>
      <c r="O13" s="219">
        <f t="shared" si="0"/>
        <v>978889</v>
      </c>
      <c r="P13" s="237">
        <f>SUM(O13)/3</f>
        <v>326296.33333333331</v>
      </c>
      <c r="Q13" s="105"/>
      <c r="R13" s="8"/>
    </row>
    <row r="14" spans="1:18" ht="30" customHeight="1" x14ac:dyDescent="0.25">
      <c r="A14" s="356" t="s">
        <v>59</v>
      </c>
      <c r="B14" s="357"/>
      <c r="C14" s="65">
        <v>35920</v>
      </c>
      <c r="D14" s="66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8">
        <v>0</v>
      </c>
      <c r="O14" s="179">
        <f t="shared" si="0"/>
        <v>35920</v>
      </c>
      <c r="P14" s="237">
        <f>SUM(O14)</f>
        <v>35920</v>
      </c>
      <c r="Q14" s="105"/>
    </row>
    <row r="15" spans="1:18" ht="30" customHeight="1" x14ac:dyDescent="0.25">
      <c r="A15" s="356" t="s">
        <v>62</v>
      </c>
      <c r="B15" s="357"/>
      <c r="C15" s="65">
        <v>511</v>
      </c>
      <c r="D15" s="66">
        <v>604</v>
      </c>
      <c r="E15" s="67">
        <v>476</v>
      </c>
      <c r="F15" s="67">
        <v>616</v>
      </c>
      <c r="G15" s="67">
        <v>671</v>
      </c>
      <c r="H15" s="67">
        <v>919</v>
      </c>
      <c r="I15" s="67">
        <v>886</v>
      </c>
      <c r="J15" s="67">
        <v>882</v>
      </c>
      <c r="K15" s="67">
        <v>1105</v>
      </c>
      <c r="L15" s="148">
        <v>916</v>
      </c>
      <c r="M15" s="148">
        <v>921</v>
      </c>
      <c r="N15" s="68">
        <v>912</v>
      </c>
      <c r="O15" s="179">
        <f t="shared" si="0"/>
        <v>9419</v>
      </c>
      <c r="P15" s="237">
        <f>SUM(O15)/12</f>
        <v>784.91666666666663</v>
      </c>
      <c r="Q15" s="105"/>
    </row>
    <row r="16" spans="1:18" ht="30" customHeight="1" thickBot="1" x14ac:dyDescent="0.3">
      <c r="A16" s="356" t="s">
        <v>60</v>
      </c>
      <c r="B16" s="357"/>
      <c r="C16" s="65">
        <v>19873</v>
      </c>
      <c r="D16" s="66">
        <v>0</v>
      </c>
      <c r="E16" s="67">
        <v>0</v>
      </c>
      <c r="F16" s="67">
        <v>0</v>
      </c>
      <c r="G16" s="67">
        <v>0</v>
      </c>
      <c r="H16" s="67">
        <v>0</v>
      </c>
      <c r="I16" s="67">
        <v>0</v>
      </c>
      <c r="J16" s="67">
        <v>0</v>
      </c>
      <c r="K16" s="67">
        <v>0</v>
      </c>
      <c r="L16" s="67">
        <v>0</v>
      </c>
      <c r="M16" s="67">
        <v>0</v>
      </c>
      <c r="N16" s="68">
        <v>0</v>
      </c>
      <c r="O16" s="179">
        <f t="shared" si="0"/>
        <v>19873</v>
      </c>
      <c r="P16" s="238">
        <f>O16</f>
        <v>19873</v>
      </c>
      <c r="Q16" s="105"/>
    </row>
    <row r="17" spans="1:17" ht="28.5" hidden="1" customHeight="1" x14ac:dyDescent="0.25">
      <c r="A17" s="398" t="s">
        <v>37</v>
      </c>
      <c r="B17" s="399"/>
      <c r="C17" s="65"/>
      <c r="D17" s="66"/>
      <c r="E17" s="67"/>
      <c r="F17" s="67"/>
      <c r="G17" s="67"/>
      <c r="H17" s="67"/>
      <c r="I17" s="67"/>
      <c r="J17" s="67"/>
      <c r="K17" s="67"/>
      <c r="L17" s="67"/>
      <c r="M17" s="67"/>
      <c r="N17" s="68"/>
      <c r="O17" s="140">
        <f t="shared" ref="O17" si="1">SUM(C17:N17)</f>
        <v>0</v>
      </c>
      <c r="P17" s="239">
        <f t="shared" ref="P17:P18" si="2">SUM(O17)/12</f>
        <v>0</v>
      </c>
    </row>
    <row r="18" spans="1:17" ht="30" hidden="1" customHeight="1" x14ac:dyDescent="0.25">
      <c r="A18" s="384" t="s">
        <v>66</v>
      </c>
      <c r="B18" s="385"/>
      <c r="C18" s="142"/>
      <c r="D18" s="143"/>
      <c r="E18" s="144"/>
      <c r="F18" s="144"/>
      <c r="G18" s="144"/>
      <c r="H18" s="144"/>
      <c r="I18" s="144"/>
      <c r="J18" s="144"/>
      <c r="K18" s="144"/>
      <c r="L18" s="144"/>
      <c r="M18" s="144"/>
      <c r="N18" s="145"/>
      <c r="O18" s="141"/>
      <c r="P18" s="239">
        <f t="shared" si="2"/>
        <v>0</v>
      </c>
    </row>
    <row r="19" spans="1:17" ht="30" customHeight="1" thickBot="1" x14ac:dyDescent="0.3">
      <c r="A19" s="364" t="s">
        <v>67</v>
      </c>
      <c r="B19" s="365"/>
      <c r="C19" s="146">
        <f t="shared" ref="C19:N19" si="3">SUM(C4:C5,C7:C12,C14,C16)</f>
        <v>7004732</v>
      </c>
      <c r="D19" s="146">
        <f t="shared" si="3"/>
        <v>6544838</v>
      </c>
      <c r="E19" s="146">
        <f t="shared" si="3"/>
        <v>7325811</v>
      </c>
      <c r="F19" s="146">
        <f t="shared" si="3"/>
        <v>7346465</v>
      </c>
      <c r="G19" s="146">
        <f t="shared" si="3"/>
        <v>8090816</v>
      </c>
      <c r="H19" s="146">
        <f t="shared" si="3"/>
        <v>7979177</v>
      </c>
      <c r="I19" s="146">
        <f t="shared" si="3"/>
        <v>8167942</v>
      </c>
      <c r="J19" s="146">
        <f t="shared" si="3"/>
        <v>8361352</v>
      </c>
      <c r="K19" s="146">
        <f t="shared" si="3"/>
        <v>9561195</v>
      </c>
      <c r="L19" s="146">
        <f t="shared" si="3"/>
        <v>8845164</v>
      </c>
      <c r="M19" s="146">
        <f t="shared" si="3"/>
        <v>8700156</v>
      </c>
      <c r="N19" s="146">
        <f t="shared" si="3"/>
        <v>6789751</v>
      </c>
      <c r="O19" s="180">
        <f>SUM(C19:N19)</f>
        <v>94717399</v>
      </c>
      <c r="P19" s="240">
        <f>SUM(O19)/12</f>
        <v>7893116.583333333</v>
      </c>
      <c r="Q19" s="7"/>
    </row>
    <row r="20" spans="1:17" ht="37.5" hidden="1" customHeight="1" x14ac:dyDescent="0.25">
      <c r="A20" s="366" t="s">
        <v>20</v>
      </c>
      <c r="B20" s="367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20">
        <f>SUM(C20:N20)</f>
        <v>0</v>
      </c>
    </row>
    <row r="21" spans="1:17" ht="19.5" hidden="1" customHeight="1" x14ac:dyDescent="0.25">
      <c r="A21" s="368" t="s">
        <v>22</v>
      </c>
      <c r="B21" s="369"/>
      <c r="C21" s="126" t="e">
        <f>SUM(C19)/C20</f>
        <v>#DIV/0!</v>
      </c>
      <c r="D21" s="126" t="e">
        <f t="shared" ref="D21:N21" si="4">SUM(D19)/D20</f>
        <v>#DIV/0!</v>
      </c>
      <c r="E21" s="126" t="e">
        <f t="shared" si="4"/>
        <v>#DIV/0!</v>
      </c>
      <c r="F21" s="126" t="e">
        <f t="shared" si="4"/>
        <v>#DIV/0!</v>
      </c>
      <c r="G21" s="126" t="e">
        <f t="shared" si="4"/>
        <v>#DIV/0!</v>
      </c>
      <c r="H21" s="126" t="e">
        <f t="shared" si="4"/>
        <v>#DIV/0!</v>
      </c>
      <c r="I21" s="126" t="e">
        <f t="shared" si="4"/>
        <v>#DIV/0!</v>
      </c>
      <c r="J21" s="126" t="e">
        <f t="shared" si="4"/>
        <v>#DIV/0!</v>
      </c>
      <c r="K21" s="126" t="e">
        <f t="shared" si="4"/>
        <v>#DIV/0!</v>
      </c>
      <c r="L21" s="126" t="e">
        <f t="shared" si="4"/>
        <v>#DIV/0!</v>
      </c>
      <c r="M21" s="126" t="e">
        <f t="shared" si="4"/>
        <v>#DIV/0!</v>
      </c>
      <c r="N21" s="126" t="e">
        <f t="shared" si="4"/>
        <v>#DIV/0!</v>
      </c>
      <c r="O21" s="127" t="e">
        <f>AVERAGE(C21:N21)</f>
        <v>#DIV/0!</v>
      </c>
      <c r="P21" s="118" t="e">
        <f>O19/O20</f>
        <v>#DIV/0!</v>
      </c>
    </row>
    <row r="22" spans="1:17" ht="16.5" thickTop="1" thickBot="1" x14ac:dyDescent="0.3">
      <c r="A22" s="370"/>
      <c r="B22" s="370"/>
      <c r="C22" s="370"/>
      <c r="D22" s="370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</row>
    <row r="23" spans="1:17" ht="16.5" thickBot="1" x14ac:dyDescent="0.3">
      <c r="A23" s="193" t="s">
        <v>82</v>
      </c>
      <c r="B23" s="194"/>
      <c r="C23" s="194"/>
      <c r="D23" s="195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</row>
    <row r="24" spans="1:17" x14ac:dyDescent="0.25">
      <c r="C24"/>
      <c r="D24" s="157"/>
      <c r="E24"/>
    </row>
    <row r="25" spans="1:17" hidden="1" x14ac:dyDescent="0.25">
      <c r="D25" s="157"/>
    </row>
    <row r="26" spans="1:17" hidden="1" x14ac:dyDescent="0.25">
      <c r="C26" s="69" t="s">
        <v>24</v>
      </c>
      <c r="D26" s="185"/>
      <c r="E26" s="7"/>
      <c r="F26" s="7"/>
      <c r="G26" s="7"/>
      <c r="H26" s="7"/>
      <c r="I26" s="7"/>
      <c r="J26" s="7"/>
      <c r="K26" s="7"/>
      <c r="L26" s="7"/>
      <c r="M26" s="7"/>
      <c r="N26" s="7"/>
      <c r="O26" s="70" t="s">
        <v>21</v>
      </c>
      <c r="P26" s="7"/>
      <c r="Q26">
        <f>SUM(N4)/N30</f>
        <v>0.32164967648838616</v>
      </c>
    </row>
    <row r="27" spans="1:17" ht="30" hidden="1" x14ac:dyDescent="0.25">
      <c r="A27" s="386" t="s">
        <v>23</v>
      </c>
      <c r="B27" s="71" t="s">
        <v>38</v>
      </c>
      <c r="C27" s="72">
        <v>451143</v>
      </c>
      <c r="D27" s="186"/>
      <c r="E27" s="72" t="s">
        <v>39</v>
      </c>
      <c r="F27" s="72">
        <v>402240</v>
      </c>
      <c r="G27" s="72">
        <v>402240</v>
      </c>
      <c r="H27" s="72">
        <v>402240</v>
      </c>
      <c r="I27" s="72">
        <v>402240</v>
      </c>
      <c r="J27" s="72">
        <v>402240</v>
      </c>
      <c r="K27" s="72">
        <v>402240</v>
      </c>
      <c r="L27" s="72">
        <v>402240</v>
      </c>
      <c r="M27" s="72">
        <v>402240</v>
      </c>
      <c r="N27" s="73">
        <v>451143</v>
      </c>
      <c r="O27" s="74">
        <f>451143*3.5+402240*8.5</f>
        <v>4998040.5</v>
      </c>
      <c r="P27" s="7">
        <f>SUM(F27:N27,C27:D27)+225572+201120</f>
        <v>4546898</v>
      </c>
      <c r="Q27">
        <f>4998041-4772469</f>
        <v>225572</v>
      </c>
    </row>
    <row r="28" spans="1:17" ht="15.75" hidden="1" x14ac:dyDescent="0.25">
      <c r="A28" s="387"/>
      <c r="B28" s="75" t="s">
        <v>40</v>
      </c>
      <c r="C28" s="76">
        <v>0</v>
      </c>
      <c r="D28" s="187"/>
      <c r="E28" s="76">
        <f>65924/2</f>
        <v>32962</v>
      </c>
      <c r="F28" s="76">
        <v>65924</v>
      </c>
      <c r="G28" s="76">
        <v>65924</v>
      </c>
      <c r="H28" s="76">
        <v>65924</v>
      </c>
      <c r="I28" s="76">
        <v>65924</v>
      </c>
      <c r="J28" s="76">
        <v>65924</v>
      </c>
      <c r="K28" s="76">
        <v>65924</v>
      </c>
      <c r="L28" s="76">
        <v>65924</v>
      </c>
      <c r="M28" s="76">
        <v>65924</v>
      </c>
      <c r="N28" s="77">
        <v>0</v>
      </c>
      <c r="O28" s="78">
        <f>65924*8.5</f>
        <v>560354</v>
      </c>
      <c r="P28" s="7">
        <f>SUM(C28:N28)</f>
        <v>560354</v>
      </c>
    </row>
    <row r="29" spans="1:17" ht="15.75" hidden="1" x14ac:dyDescent="0.25">
      <c r="A29" s="387"/>
      <c r="B29" s="75" t="s">
        <v>41</v>
      </c>
      <c r="C29" s="76"/>
      <c r="D29" s="187"/>
      <c r="E29" s="76">
        <f>74734*31</f>
        <v>2316754</v>
      </c>
      <c r="F29" s="76">
        <f>74734*30</f>
        <v>2242020</v>
      </c>
      <c r="G29" s="76">
        <f>74734*31</f>
        <v>2316754</v>
      </c>
      <c r="H29" s="76">
        <f>74734*30</f>
        <v>2242020</v>
      </c>
      <c r="I29" s="76">
        <f>74734*31</f>
        <v>2316754</v>
      </c>
      <c r="J29" s="76">
        <f>74734*31</f>
        <v>2316754</v>
      </c>
      <c r="K29" s="76">
        <f>74734*30</f>
        <v>2242020</v>
      </c>
      <c r="L29" s="76">
        <f>74734*31</f>
        <v>2316754</v>
      </c>
      <c r="M29" s="76">
        <f>74734*30</f>
        <v>2242020</v>
      </c>
      <c r="N29" s="77">
        <v>0</v>
      </c>
      <c r="O29" s="78">
        <f>SUM(C29:N29)</f>
        <v>20551850</v>
      </c>
      <c r="P29" s="7">
        <f>74737*365</f>
        <v>27279005</v>
      </c>
    </row>
    <row r="30" spans="1:17" ht="15.75" hidden="1" x14ac:dyDescent="0.25">
      <c r="A30" s="387"/>
      <c r="B30" s="79" t="s">
        <v>42</v>
      </c>
      <c r="C30" s="80">
        <f t="shared" ref="C30:O30" si="5">SUM(C27:C29)</f>
        <v>451143</v>
      </c>
      <c r="D30" s="188"/>
      <c r="E30" s="80">
        <f t="shared" si="5"/>
        <v>2349716</v>
      </c>
      <c r="F30" s="80">
        <f t="shared" si="5"/>
        <v>2710184</v>
      </c>
      <c r="G30" s="80">
        <f t="shared" si="5"/>
        <v>2784918</v>
      </c>
      <c r="H30" s="80">
        <f t="shared" si="5"/>
        <v>2710184</v>
      </c>
      <c r="I30" s="80">
        <f t="shared" si="5"/>
        <v>2784918</v>
      </c>
      <c r="J30" s="80">
        <f t="shared" si="5"/>
        <v>2784918</v>
      </c>
      <c r="K30" s="80">
        <f t="shared" si="5"/>
        <v>2710184</v>
      </c>
      <c r="L30" s="80">
        <f t="shared" si="5"/>
        <v>2784918</v>
      </c>
      <c r="M30" s="80">
        <f t="shared" si="5"/>
        <v>2710184</v>
      </c>
      <c r="N30" s="81">
        <f t="shared" si="5"/>
        <v>451143</v>
      </c>
      <c r="O30" s="82">
        <f t="shared" si="5"/>
        <v>26110244.5</v>
      </c>
      <c r="P30" s="7"/>
    </row>
    <row r="31" spans="1:17" ht="45.75" hidden="1" thickBot="1" x14ac:dyDescent="0.3">
      <c r="A31" s="83" t="s">
        <v>43</v>
      </c>
      <c r="B31" s="84"/>
      <c r="C31" s="85"/>
      <c r="D31" s="189"/>
      <c r="E31" s="85"/>
      <c r="F31" s="85"/>
      <c r="G31" s="85"/>
      <c r="H31" s="85"/>
      <c r="I31" s="85"/>
      <c r="J31" s="85"/>
      <c r="K31" s="85"/>
      <c r="L31" s="85"/>
      <c r="M31" s="85"/>
      <c r="N31" s="86"/>
      <c r="O31" s="87"/>
      <c r="P31" s="7"/>
    </row>
    <row r="32" spans="1:17" ht="15.75" hidden="1" x14ac:dyDescent="0.25">
      <c r="A32" s="366" t="s">
        <v>12</v>
      </c>
      <c r="B32" s="88" t="s">
        <v>38</v>
      </c>
      <c r="C32" s="89">
        <v>0</v>
      </c>
      <c r="D32" s="190"/>
      <c r="E32" s="89">
        <f>408785/2</f>
        <v>204392.5</v>
      </c>
      <c r="F32" s="89">
        <v>408785</v>
      </c>
      <c r="G32" s="89">
        <v>408785</v>
      </c>
      <c r="H32" s="89">
        <v>408785</v>
      </c>
      <c r="I32" s="89">
        <v>408785</v>
      </c>
      <c r="J32" s="89">
        <v>408785</v>
      </c>
      <c r="K32" s="89">
        <v>408785</v>
      </c>
      <c r="L32" s="89">
        <v>408785</v>
      </c>
      <c r="M32" s="89">
        <v>408785</v>
      </c>
      <c r="N32" s="90">
        <v>0</v>
      </c>
      <c r="O32" s="74">
        <f>408785*8.5</f>
        <v>3474672.5</v>
      </c>
      <c r="P32" s="7">
        <f>SUM(C32:N32)</f>
        <v>3474672.5</v>
      </c>
    </row>
    <row r="33" spans="1:16" ht="15.75" hidden="1" x14ac:dyDescent="0.25">
      <c r="A33" s="390"/>
      <c r="B33" s="75" t="s">
        <v>40</v>
      </c>
      <c r="C33" s="76">
        <v>0</v>
      </c>
      <c r="D33" s="187"/>
      <c r="E33" s="76">
        <f>65924/2</f>
        <v>32962</v>
      </c>
      <c r="F33" s="76">
        <v>65924</v>
      </c>
      <c r="G33" s="76">
        <v>65924</v>
      </c>
      <c r="H33" s="76">
        <v>65924</v>
      </c>
      <c r="I33" s="76">
        <v>65924</v>
      </c>
      <c r="J33" s="76">
        <v>65924</v>
      </c>
      <c r="K33" s="76">
        <v>65924</v>
      </c>
      <c r="L33" s="76">
        <v>65924</v>
      </c>
      <c r="M33" s="76">
        <v>65924</v>
      </c>
      <c r="N33" s="77">
        <v>0</v>
      </c>
      <c r="O33" s="91">
        <f>65924*8.5</f>
        <v>560354</v>
      </c>
      <c r="P33" s="7">
        <f>SUM(C33:N33)</f>
        <v>560354</v>
      </c>
    </row>
    <row r="34" spans="1:16" ht="15.75" hidden="1" x14ac:dyDescent="0.25">
      <c r="A34" s="390"/>
      <c r="B34" s="75" t="s">
        <v>41</v>
      </c>
      <c r="C34" s="76">
        <v>0</v>
      </c>
      <c r="D34" s="187"/>
      <c r="E34" s="76">
        <f>74734*31</f>
        <v>2316754</v>
      </c>
      <c r="F34" s="76">
        <f>74734*30</f>
        <v>2242020</v>
      </c>
      <c r="G34" s="76">
        <f>74734*31</f>
        <v>2316754</v>
      </c>
      <c r="H34" s="76">
        <f>74734*30</f>
        <v>2242020</v>
      </c>
      <c r="I34" s="76">
        <f>74734*31</f>
        <v>2316754</v>
      </c>
      <c r="J34" s="76">
        <f>74734*31</f>
        <v>2316754</v>
      </c>
      <c r="K34" s="76">
        <f>74734*30</f>
        <v>2242020</v>
      </c>
      <c r="L34" s="76">
        <f>74734*31</f>
        <v>2316754</v>
      </c>
      <c r="M34" s="76">
        <f>74734*30</f>
        <v>2242020</v>
      </c>
      <c r="N34" s="77">
        <v>0</v>
      </c>
      <c r="O34" s="91">
        <f>SUM(C34:N34)</f>
        <v>20551850</v>
      </c>
      <c r="P34" s="7">
        <f>74737*365</f>
        <v>27279005</v>
      </c>
    </row>
    <row r="35" spans="1:16" ht="16.5" hidden="1" thickBot="1" x14ac:dyDescent="0.3">
      <c r="A35" s="391"/>
      <c r="B35" s="92" t="s">
        <v>42</v>
      </c>
      <c r="C35" s="93">
        <f>SUM(C32:C34)</f>
        <v>0</v>
      </c>
      <c r="D35" s="191"/>
      <c r="E35" s="93">
        <f t="shared" ref="E35:N35" si="6">SUM(E32:E34)</f>
        <v>2554108.5</v>
      </c>
      <c r="F35" s="93">
        <f t="shared" si="6"/>
        <v>2716729</v>
      </c>
      <c r="G35" s="93">
        <f t="shared" si="6"/>
        <v>2791463</v>
      </c>
      <c r="H35" s="93">
        <f t="shared" si="6"/>
        <v>2716729</v>
      </c>
      <c r="I35" s="93">
        <f t="shared" si="6"/>
        <v>2791463</v>
      </c>
      <c r="J35" s="93">
        <f t="shared" si="6"/>
        <v>2791463</v>
      </c>
      <c r="K35" s="93">
        <f t="shared" si="6"/>
        <v>2716729</v>
      </c>
      <c r="L35" s="93">
        <f t="shared" si="6"/>
        <v>2791463</v>
      </c>
      <c r="M35" s="93">
        <f t="shared" si="6"/>
        <v>2716729</v>
      </c>
      <c r="N35" s="93">
        <f t="shared" si="6"/>
        <v>0</v>
      </c>
      <c r="O35" s="87">
        <f>SUM(O32:O34)</f>
        <v>24586876.5</v>
      </c>
      <c r="P35" s="7"/>
    </row>
    <row r="36" spans="1:16" ht="15.75" hidden="1" x14ac:dyDescent="0.25">
      <c r="A36" s="392" t="s">
        <v>36</v>
      </c>
      <c r="B36" s="71" t="s">
        <v>38</v>
      </c>
      <c r="C36" s="72">
        <v>200087</v>
      </c>
      <c r="D36" s="186"/>
      <c r="E36" s="72">
        <v>200087</v>
      </c>
      <c r="F36" s="72">
        <v>200087</v>
      </c>
      <c r="G36" s="72">
        <v>200087</v>
      </c>
      <c r="H36" s="72">
        <v>200087</v>
      </c>
      <c r="I36" s="72">
        <v>200087</v>
      </c>
      <c r="J36" s="72">
        <v>200087</v>
      </c>
      <c r="K36" s="72">
        <v>200087</v>
      </c>
      <c r="L36" s="72">
        <v>200087</v>
      </c>
      <c r="M36" s="72">
        <v>200087</v>
      </c>
      <c r="N36" s="72">
        <v>200087</v>
      </c>
      <c r="O36" s="74">
        <f>200087*12</f>
        <v>2401044</v>
      </c>
      <c r="P36" s="7"/>
    </row>
    <row r="37" spans="1:16" ht="15.75" hidden="1" x14ac:dyDescent="0.25">
      <c r="A37" s="393"/>
      <c r="B37" s="75" t="s">
        <v>40</v>
      </c>
      <c r="C37" s="76">
        <v>123117</v>
      </c>
      <c r="D37" s="187"/>
      <c r="E37" s="76">
        <v>123117</v>
      </c>
      <c r="F37" s="76">
        <v>123117</v>
      </c>
      <c r="G37" s="76">
        <v>123117</v>
      </c>
      <c r="H37" s="76">
        <v>123117</v>
      </c>
      <c r="I37" s="76">
        <v>123117</v>
      </c>
      <c r="J37" s="76">
        <v>123117</v>
      </c>
      <c r="K37" s="76">
        <v>123117</v>
      </c>
      <c r="L37" s="76">
        <v>123117</v>
      </c>
      <c r="M37" s="76">
        <v>123117</v>
      </c>
      <c r="N37" s="76">
        <v>123117</v>
      </c>
      <c r="O37" s="91">
        <f>123117*12</f>
        <v>1477404</v>
      </c>
      <c r="P37" s="7"/>
    </row>
    <row r="38" spans="1:16" ht="16.5" hidden="1" thickBot="1" x14ac:dyDescent="0.3">
      <c r="A38" s="394"/>
      <c r="B38" s="92" t="s">
        <v>42</v>
      </c>
      <c r="C38" s="93">
        <f>SUM(C36:C37)</f>
        <v>323204</v>
      </c>
      <c r="D38" s="191"/>
      <c r="E38" s="93">
        <f t="shared" ref="E38:N38" si="7">SUM(E36:E37)</f>
        <v>323204</v>
      </c>
      <c r="F38" s="93">
        <f t="shared" si="7"/>
        <v>323204</v>
      </c>
      <c r="G38" s="93">
        <f t="shared" si="7"/>
        <v>323204</v>
      </c>
      <c r="H38" s="93">
        <f t="shared" si="7"/>
        <v>323204</v>
      </c>
      <c r="I38" s="93">
        <f t="shared" si="7"/>
        <v>323204</v>
      </c>
      <c r="J38" s="93">
        <f t="shared" si="7"/>
        <v>323204</v>
      </c>
      <c r="K38" s="93">
        <f t="shared" si="7"/>
        <v>323204</v>
      </c>
      <c r="L38" s="93">
        <f t="shared" si="7"/>
        <v>323204</v>
      </c>
      <c r="M38" s="93">
        <f t="shared" si="7"/>
        <v>323204</v>
      </c>
      <c r="N38" s="93">
        <f t="shared" si="7"/>
        <v>323204</v>
      </c>
      <c r="O38" s="87">
        <f>SUM(O36:O37)</f>
        <v>3878448</v>
      </c>
      <c r="P38" s="7">
        <f>SUM(C38:N38)</f>
        <v>3555244</v>
      </c>
    </row>
    <row r="39" spans="1:16" ht="45.75" hidden="1" customHeight="1" x14ac:dyDescent="0.25">
      <c r="A39" s="388" t="s">
        <v>44</v>
      </c>
      <c r="B39" s="389"/>
      <c r="C39" s="94">
        <v>718246</v>
      </c>
      <c r="D39" s="192"/>
      <c r="E39" s="95">
        <f>74734*31</f>
        <v>2316754</v>
      </c>
      <c r="F39" s="95">
        <f>74734*30</f>
        <v>2242020</v>
      </c>
      <c r="G39" s="95">
        <f>74734*31</f>
        <v>2316754</v>
      </c>
      <c r="H39" s="95">
        <f>74734*30</f>
        <v>2242020</v>
      </c>
      <c r="I39" s="95">
        <f>74734*31</f>
        <v>2316754</v>
      </c>
      <c r="J39" s="95">
        <f>74734*31</f>
        <v>2316754</v>
      </c>
      <c r="K39" s="95">
        <f>74734*30</f>
        <v>2242020</v>
      </c>
      <c r="L39" s="95">
        <f>74734*31</f>
        <v>2316754</v>
      </c>
      <c r="M39" s="95">
        <f>74734*30</f>
        <v>2242020</v>
      </c>
      <c r="N39" s="96">
        <f>74734*31</f>
        <v>2316754</v>
      </c>
      <c r="O39" s="97">
        <f>SUM(C39:N39)</f>
        <v>23586850</v>
      </c>
      <c r="P39" s="7"/>
    </row>
    <row r="40" spans="1:16" ht="45.75" hidden="1" customHeight="1" x14ac:dyDescent="0.25">
      <c r="A40" s="388" t="s">
        <v>45</v>
      </c>
      <c r="B40" s="389"/>
      <c r="C40" s="95">
        <v>78406</v>
      </c>
      <c r="D40" s="192"/>
      <c r="E40" s="95">
        <v>78406</v>
      </c>
      <c r="F40" s="95">
        <v>78406</v>
      </c>
      <c r="G40" s="95">
        <v>78406</v>
      </c>
      <c r="H40" s="95">
        <v>78406</v>
      </c>
      <c r="I40" s="95">
        <v>78406</v>
      </c>
      <c r="J40" s="95">
        <v>78406</v>
      </c>
      <c r="K40" s="95">
        <v>78406</v>
      </c>
      <c r="L40" s="95">
        <v>78406</v>
      </c>
      <c r="M40" s="95">
        <v>78406</v>
      </c>
      <c r="N40" s="95">
        <v>78406</v>
      </c>
      <c r="O40" s="97">
        <f>SUM(C40:N40)</f>
        <v>862466</v>
      </c>
      <c r="P40" s="7"/>
    </row>
    <row r="41" spans="1:16" ht="30" hidden="1" customHeight="1" x14ac:dyDescent="0.25">
      <c r="A41" s="393" t="s">
        <v>46</v>
      </c>
      <c r="B41" s="88" t="s">
        <v>38</v>
      </c>
      <c r="C41" s="89">
        <v>341775</v>
      </c>
      <c r="D41" s="190"/>
      <c r="E41" s="89">
        <v>341775</v>
      </c>
      <c r="F41" s="89">
        <v>341775</v>
      </c>
      <c r="G41" s="89">
        <v>341775</v>
      </c>
      <c r="H41" s="89">
        <v>341775</v>
      </c>
      <c r="I41" s="89">
        <v>341775</v>
      </c>
      <c r="J41" s="89">
        <v>341775</v>
      </c>
      <c r="K41" s="89">
        <v>341775</v>
      </c>
      <c r="L41" s="89">
        <v>341775</v>
      </c>
      <c r="M41" s="89">
        <v>341775</v>
      </c>
      <c r="N41" s="89">
        <v>341775</v>
      </c>
      <c r="O41" s="78">
        <f>SUM(C41:N41)</f>
        <v>3759525</v>
      </c>
      <c r="P41" s="7"/>
    </row>
    <row r="42" spans="1:16" ht="15.75" hidden="1" x14ac:dyDescent="0.25">
      <c r="A42" s="393"/>
      <c r="B42" s="75" t="s">
        <v>40</v>
      </c>
      <c r="C42" s="76">
        <v>136710</v>
      </c>
      <c r="D42" s="187"/>
      <c r="E42" s="76">
        <v>136710</v>
      </c>
      <c r="F42" s="76">
        <v>136710</v>
      </c>
      <c r="G42" s="76">
        <v>136710</v>
      </c>
      <c r="H42" s="76">
        <v>136710</v>
      </c>
      <c r="I42" s="76">
        <v>136710</v>
      </c>
      <c r="J42" s="76">
        <v>136710</v>
      </c>
      <c r="K42" s="76">
        <v>136710</v>
      </c>
      <c r="L42" s="76">
        <v>136710</v>
      </c>
      <c r="M42" s="76">
        <v>136710</v>
      </c>
      <c r="N42" s="76">
        <v>136710</v>
      </c>
      <c r="O42" s="91">
        <f>SUM(C42:N42)</f>
        <v>1503810</v>
      </c>
      <c r="P42" s="7"/>
    </row>
    <row r="43" spans="1:16" ht="16.5" hidden="1" thickBot="1" x14ac:dyDescent="0.3">
      <c r="A43" s="394"/>
      <c r="B43" s="98" t="s">
        <v>42</v>
      </c>
      <c r="C43" s="93">
        <f>SUM(C41:C42)</f>
        <v>478485</v>
      </c>
      <c r="D43" s="191"/>
      <c r="E43" s="93">
        <f t="shared" ref="E43:N43" si="8">SUM(E41:E42)</f>
        <v>478485</v>
      </c>
      <c r="F43" s="93">
        <f t="shared" si="8"/>
        <v>478485</v>
      </c>
      <c r="G43" s="93">
        <f t="shared" si="8"/>
        <v>478485</v>
      </c>
      <c r="H43" s="93">
        <f t="shared" si="8"/>
        <v>478485</v>
      </c>
      <c r="I43" s="93">
        <f t="shared" si="8"/>
        <v>478485</v>
      </c>
      <c r="J43" s="93">
        <f t="shared" si="8"/>
        <v>478485</v>
      </c>
      <c r="K43" s="93">
        <f t="shared" si="8"/>
        <v>478485</v>
      </c>
      <c r="L43" s="93">
        <f t="shared" si="8"/>
        <v>478485</v>
      </c>
      <c r="M43" s="93">
        <f t="shared" si="8"/>
        <v>478485</v>
      </c>
      <c r="N43" s="93">
        <f t="shared" si="8"/>
        <v>478485</v>
      </c>
      <c r="O43" s="99">
        <f>SUM(O41:O42)</f>
        <v>5263335</v>
      </c>
      <c r="P43" s="7">
        <f>SUM(C43:N43)</f>
        <v>5263335</v>
      </c>
    </row>
    <row r="44" spans="1:16" ht="30.75" hidden="1" customHeight="1" x14ac:dyDescent="0.25">
      <c r="A44" s="388" t="s">
        <v>47</v>
      </c>
      <c r="B44" s="389"/>
      <c r="C44" s="95">
        <v>47440</v>
      </c>
      <c r="D44" s="192"/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6">
        <v>0</v>
      </c>
      <c r="O44" s="99">
        <f>SUM(C44:N44)</f>
        <v>47440</v>
      </c>
      <c r="P44" s="7"/>
    </row>
    <row r="45" spans="1:16" ht="30.75" hidden="1" customHeight="1" x14ac:dyDescent="0.25">
      <c r="A45" s="388" t="s">
        <v>48</v>
      </c>
      <c r="B45" s="389"/>
      <c r="C45" s="100" t="s">
        <v>25</v>
      </c>
      <c r="D45" s="192"/>
      <c r="E45" s="100" t="s">
        <v>25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 t="s">
        <v>25</v>
      </c>
      <c r="N45" s="101" t="s">
        <v>25</v>
      </c>
      <c r="O45" s="99"/>
      <c r="P45" s="7"/>
    </row>
    <row r="46" spans="1:16" ht="30.75" hidden="1" thickBot="1" x14ac:dyDescent="0.3">
      <c r="A46" s="388" t="s">
        <v>49</v>
      </c>
      <c r="B46" s="389"/>
      <c r="C46" s="100" t="s">
        <v>26</v>
      </c>
      <c r="D46" s="192"/>
      <c r="E46" s="100" t="s">
        <v>26</v>
      </c>
      <c r="F46" s="100" t="s">
        <v>26</v>
      </c>
      <c r="G46" s="100" t="s">
        <v>26</v>
      </c>
      <c r="H46" s="100" t="s">
        <v>26</v>
      </c>
      <c r="I46" s="100" t="s">
        <v>26</v>
      </c>
      <c r="J46" s="100" t="s">
        <v>26</v>
      </c>
      <c r="K46" s="100" t="s">
        <v>26</v>
      </c>
      <c r="L46" s="100" t="s">
        <v>26</v>
      </c>
      <c r="M46" s="100" t="s">
        <v>26</v>
      </c>
      <c r="N46" s="101" t="s">
        <v>26</v>
      </c>
      <c r="O46" s="87"/>
      <c r="P46" s="7"/>
    </row>
    <row r="47" spans="1:16" ht="16.5" hidden="1" thickBot="1" x14ac:dyDescent="0.3">
      <c r="C47" s="102">
        <f>SUM(C30,C35,C38,C39,C40,C43,C44)</f>
        <v>2096924</v>
      </c>
      <c r="D47" s="102"/>
      <c r="E47" s="102">
        <f>SUM(E30,E35,E38,E39,E40,E43,E44)</f>
        <v>8100673.5</v>
      </c>
      <c r="F47" s="102">
        <f t="shared" ref="F47:L47" si="9">SUM(F30,F35,F38,F39,F40,F43,F44,F45)</f>
        <v>8549028</v>
      </c>
      <c r="G47" s="102">
        <f t="shared" si="9"/>
        <v>8773230</v>
      </c>
      <c r="H47" s="102">
        <f t="shared" si="9"/>
        <v>8549028</v>
      </c>
      <c r="I47" s="102">
        <f t="shared" si="9"/>
        <v>8773230</v>
      </c>
      <c r="J47" s="102">
        <f t="shared" si="9"/>
        <v>8773230</v>
      </c>
      <c r="K47" s="102">
        <f t="shared" si="9"/>
        <v>8549028</v>
      </c>
      <c r="L47" s="102">
        <f t="shared" si="9"/>
        <v>8773230</v>
      </c>
      <c r="M47" s="102">
        <f>SUM(M30,M35,M38,M39,M40,M43,M44)</f>
        <v>8549028</v>
      </c>
      <c r="N47" s="103">
        <f>SUM(N30,N35,N38,N39,N40,N43,N44)</f>
        <v>3647992</v>
      </c>
      <c r="O47" s="104"/>
      <c r="P47" s="105"/>
    </row>
    <row r="48" spans="1:16" hidden="1" x14ac:dyDescent="0.25">
      <c r="C48" s="7"/>
      <c r="D48" s="185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6" ht="15.75" thickBot="1" x14ac:dyDescent="0.3">
      <c r="C49" s="7"/>
      <c r="D49" s="185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6" ht="15.75" thickBot="1" x14ac:dyDescent="0.3">
      <c r="A50" s="405" t="s">
        <v>83</v>
      </c>
      <c r="B50" s="406"/>
      <c r="C50" s="406"/>
      <c r="D50" s="406"/>
      <c r="E50" s="407"/>
      <c r="F50" s="197"/>
      <c r="G50" s="197"/>
      <c r="H50" s="7"/>
      <c r="I50" s="7"/>
      <c r="J50" s="7"/>
      <c r="K50" s="7"/>
      <c r="L50" s="7"/>
      <c r="M50" s="7"/>
      <c r="N50" s="7"/>
    </row>
    <row r="51" spans="1:16" x14ac:dyDescent="0.2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6" ht="15.75" hidden="1" thickBot="1" x14ac:dyDescent="0.3">
      <c r="A52" s="408" t="s">
        <v>79</v>
      </c>
      <c r="B52" s="409"/>
      <c r="C52" s="171">
        <v>2721212</v>
      </c>
      <c r="D52" s="172">
        <v>2350052</v>
      </c>
      <c r="E52" s="172">
        <v>2557366</v>
      </c>
      <c r="F52" s="172">
        <v>2705660</v>
      </c>
      <c r="G52" s="172">
        <v>3055274</v>
      </c>
      <c r="H52" s="172">
        <v>2838225</v>
      </c>
      <c r="I52" s="172">
        <v>3150917</v>
      </c>
      <c r="J52" s="172">
        <v>3180033</v>
      </c>
      <c r="K52" s="172">
        <v>3140257</v>
      </c>
      <c r="L52" s="172">
        <v>3274659</v>
      </c>
      <c r="M52" s="172">
        <v>2901561</v>
      </c>
      <c r="N52" s="211">
        <v>2389857</v>
      </c>
      <c r="O52" s="214">
        <f>SUM(C52:N52)</f>
        <v>34265073</v>
      </c>
      <c r="P52" s="400">
        <f>SUM(O52:O54)</f>
        <v>88778065</v>
      </c>
    </row>
    <row r="53" spans="1:16" ht="15.75" hidden="1" thickBot="1" x14ac:dyDescent="0.3">
      <c r="A53" s="410" t="s">
        <v>80</v>
      </c>
      <c r="B53" s="411"/>
      <c r="C53" s="173">
        <v>3762920</v>
      </c>
      <c r="D53" s="174">
        <v>3748844</v>
      </c>
      <c r="E53" s="174">
        <v>3971835</v>
      </c>
      <c r="F53" s="174">
        <v>3780407</v>
      </c>
      <c r="G53" s="174">
        <v>3848516</v>
      </c>
      <c r="H53" s="174">
        <v>3578092</v>
      </c>
      <c r="I53" s="174">
        <v>3845381</v>
      </c>
      <c r="J53" s="174">
        <v>3773242</v>
      </c>
      <c r="K53" s="174">
        <v>4234548</v>
      </c>
      <c r="L53" s="174">
        <v>3972114</v>
      </c>
      <c r="M53" s="174">
        <v>4307988</v>
      </c>
      <c r="N53" s="212">
        <v>3442442</v>
      </c>
      <c r="O53" s="214">
        <f t="shared" ref="O53:O54" si="10">SUM(C53:N53)</f>
        <v>46266329</v>
      </c>
      <c r="P53" s="401"/>
    </row>
    <row r="54" spans="1:16" ht="15.75" hidden="1" thickBot="1" x14ac:dyDescent="0.3">
      <c r="A54" s="403" t="s">
        <v>81</v>
      </c>
      <c r="B54" s="404"/>
      <c r="C54" s="175">
        <v>260300</v>
      </c>
      <c r="D54" s="176">
        <v>222971</v>
      </c>
      <c r="E54" s="176">
        <v>398305</v>
      </c>
      <c r="F54" s="176">
        <v>430199</v>
      </c>
      <c r="G54" s="176">
        <v>593513</v>
      </c>
      <c r="H54" s="176">
        <v>781430</v>
      </c>
      <c r="I54" s="176">
        <v>585822</v>
      </c>
      <c r="J54" s="176">
        <v>846876</v>
      </c>
      <c r="K54" s="176">
        <v>1093195</v>
      </c>
      <c r="L54" s="176">
        <v>1139757</v>
      </c>
      <c r="M54" s="176">
        <v>1074921</v>
      </c>
      <c r="N54" s="213">
        <v>819374</v>
      </c>
      <c r="O54" s="215">
        <f t="shared" si="10"/>
        <v>8246663</v>
      </c>
      <c r="P54" s="402"/>
    </row>
    <row r="55" spans="1:16" hidden="1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6" hidden="1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>
        <f>SUM(O19)-O52-O53-O54</f>
        <v>5939334</v>
      </c>
    </row>
    <row r="57" spans="1:16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</sheetData>
  <mergeCells count="36">
    <mergeCell ref="A6:B6"/>
    <mergeCell ref="A1:O1"/>
    <mergeCell ref="A3:B3"/>
    <mergeCell ref="A4:B4"/>
    <mergeCell ref="A5:B5"/>
    <mergeCell ref="A2:P2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41:A43"/>
    <mergeCell ref="A19:B19"/>
    <mergeCell ref="A20:B20"/>
    <mergeCell ref="A21:B21"/>
    <mergeCell ref="A22:O22"/>
    <mergeCell ref="A27:A30"/>
    <mergeCell ref="A32:A35"/>
    <mergeCell ref="A36:A38"/>
    <mergeCell ref="A39:B39"/>
    <mergeCell ref="A40:B40"/>
    <mergeCell ref="P52:P54"/>
    <mergeCell ref="A54:B54"/>
    <mergeCell ref="A50:E50"/>
    <mergeCell ref="A44:B44"/>
    <mergeCell ref="A45:B45"/>
    <mergeCell ref="A46:B46"/>
    <mergeCell ref="A52:B52"/>
    <mergeCell ref="A53:B53"/>
  </mergeCells>
  <printOptions horizontalCentered="1"/>
  <pageMargins left="0" right="0" top="0.59055118110236227" bottom="0" header="0.31496062992125984" footer="0.31496062992125984"/>
  <pageSetup paperSize="9" scale="5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1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16" sqref="G16"/>
    </sheetView>
  </sheetViews>
  <sheetFormatPr defaultColWidth="9.140625" defaultRowHeight="18.75" x14ac:dyDescent="0.3"/>
  <cols>
    <col min="1" max="1" width="4.85546875" style="164" customWidth="1"/>
    <col min="2" max="2" width="58.42578125" style="164" bestFit="1" customWidth="1"/>
    <col min="3" max="14" width="12.28515625" style="164" customWidth="1"/>
    <col min="15" max="16" width="13.7109375" style="164" customWidth="1"/>
    <col min="17" max="17" width="16.42578125" style="164" customWidth="1"/>
    <col min="18" max="16384" width="9.140625" style="164"/>
  </cols>
  <sheetData>
    <row r="2" spans="1:16" s="154" customFormat="1" ht="16.5" thickBot="1" x14ac:dyDescent="0.3">
      <c r="C2" s="155"/>
      <c r="E2" s="156"/>
    </row>
    <row r="3" spans="1:16" s="154" customFormat="1" ht="38.25" thickBot="1" x14ac:dyDescent="0.3">
      <c r="B3" s="222" t="s">
        <v>78</v>
      </c>
      <c r="C3" s="223" t="s">
        <v>86</v>
      </c>
      <c r="D3" s="223" t="s">
        <v>87</v>
      </c>
      <c r="E3" s="221" t="s">
        <v>88</v>
      </c>
      <c r="F3" s="221" t="s">
        <v>89</v>
      </c>
      <c r="G3" s="221" t="s">
        <v>90</v>
      </c>
      <c r="H3" s="221" t="s">
        <v>91</v>
      </c>
      <c r="I3" s="221" t="s">
        <v>92</v>
      </c>
      <c r="J3" s="221" t="s">
        <v>93</v>
      </c>
      <c r="K3" s="221" t="s">
        <v>94</v>
      </c>
      <c r="L3" s="221" t="s">
        <v>95</v>
      </c>
      <c r="M3" s="221" t="s">
        <v>96</v>
      </c>
      <c r="N3" s="224" t="s">
        <v>97</v>
      </c>
      <c r="O3" s="233" t="s">
        <v>98</v>
      </c>
      <c r="P3" s="234" t="s">
        <v>99</v>
      </c>
    </row>
    <row r="4" spans="1:16" customFormat="1" ht="16.5" hidden="1" thickBot="1" x14ac:dyDescent="0.3">
      <c r="B4" s="416" t="s">
        <v>71</v>
      </c>
      <c r="C4" s="417"/>
    </row>
    <row r="5" spans="1:16" customFormat="1" ht="16.5" hidden="1" thickBot="1" x14ac:dyDescent="0.3">
      <c r="B5" s="418"/>
      <c r="C5" s="419"/>
      <c r="D5" s="157"/>
    </row>
    <row r="6" spans="1:16" s="154" customFormat="1" x14ac:dyDescent="0.25">
      <c r="B6" s="158" t="s">
        <v>72</v>
      </c>
      <c r="C6" s="165">
        <v>130</v>
      </c>
      <c r="D6" s="165">
        <v>150</v>
      </c>
      <c r="E6" s="220">
        <v>118</v>
      </c>
      <c r="F6" s="165">
        <v>150</v>
      </c>
      <c r="G6" s="165">
        <v>145</v>
      </c>
      <c r="H6" s="165">
        <v>225</v>
      </c>
      <c r="I6" s="165">
        <v>216</v>
      </c>
      <c r="J6" s="165">
        <v>205</v>
      </c>
      <c r="K6" s="198">
        <v>255</v>
      </c>
      <c r="L6" s="203">
        <v>210</v>
      </c>
      <c r="M6" s="203">
        <v>210</v>
      </c>
      <c r="N6" s="204">
        <v>210</v>
      </c>
      <c r="O6" s="229">
        <f>SUM(C6:N6)</f>
        <v>2224</v>
      </c>
      <c r="P6" s="225">
        <f t="shared" ref="P6:P11" si="0">O6/12</f>
        <v>185.33333333333334</v>
      </c>
    </row>
    <row r="7" spans="1:16" s="154" customFormat="1" x14ac:dyDescent="0.25">
      <c r="B7" s="159" t="s">
        <v>73</v>
      </c>
      <c r="C7" s="166">
        <v>96</v>
      </c>
      <c r="D7" s="166">
        <v>114</v>
      </c>
      <c r="E7" s="166">
        <v>90</v>
      </c>
      <c r="F7" s="166">
        <v>120</v>
      </c>
      <c r="G7" s="166">
        <v>125</v>
      </c>
      <c r="H7" s="166">
        <v>174</v>
      </c>
      <c r="I7" s="166">
        <v>170</v>
      </c>
      <c r="J7" s="166">
        <v>175</v>
      </c>
      <c r="K7" s="199">
        <v>220</v>
      </c>
      <c r="L7" s="205">
        <v>185</v>
      </c>
      <c r="M7" s="205">
        <v>185</v>
      </c>
      <c r="N7" s="206">
        <v>180</v>
      </c>
      <c r="O7" s="230">
        <f t="shared" ref="O7:O11" si="1">SUM(C7:N7)</f>
        <v>1834</v>
      </c>
      <c r="P7" s="226">
        <f t="shared" si="0"/>
        <v>152.83333333333334</v>
      </c>
    </row>
    <row r="8" spans="1:16" s="154" customFormat="1" x14ac:dyDescent="0.25">
      <c r="B8" s="159" t="s">
        <v>74</v>
      </c>
      <c r="C8" s="166">
        <v>125</v>
      </c>
      <c r="D8" s="166">
        <v>150</v>
      </c>
      <c r="E8" s="166">
        <v>118</v>
      </c>
      <c r="F8" s="166">
        <v>152</v>
      </c>
      <c r="G8" s="166">
        <v>190</v>
      </c>
      <c r="H8" s="166">
        <v>225</v>
      </c>
      <c r="I8" s="166">
        <v>220</v>
      </c>
      <c r="J8" s="166">
        <v>220</v>
      </c>
      <c r="K8" s="199">
        <v>285</v>
      </c>
      <c r="L8" s="205">
        <v>236</v>
      </c>
      <c r="M8" s="205">
        <v>235</v>
      </c>
      <c r="N8" s="206">
        <v>230</v>
      </c>
      <c r="O8" s="230">
        <f t="shared" si="1"/>
        <v>2386</v>
      </c>
      <c r="P8" s="226">
        <f t="shared" si="0"/>
        <v>198.83333333333334</v>
      </c>
    </row>
    <row r="9" spans="1:16" s="154" customFormat="1" x14ac:dyDescent="0.25">
      <c r="B9" s="159" t="s">
        <v>75</v>
      </c>
      <c r="C9" s="166">
        <v>55</v>
      </c>
      <c r="D9" s="166">
        <v>65</v>
      </c>
      <c r="E9" s="166">
        <v>50</v>
      </c>
      <c r="F9" s="166">
        <v>65</v>
      </c>
      <c r="G9" s="166">
        <v>66</v>
      </c>
      <c r="H9" s="166">
        <v>95</v>
      </c>
      <c r="I9" s="166">
        <v>94</v>
      </c>
      <c r="J9" s="166">
        <v>95</v>
      </c>
      <c r="K9" s="199">
        <v>110</v>
      </c>
      <c r="L9" s="205">
        <v>91</v>
      </c>
      <c r="M9" s="205">
        <v>95</v>
      </c>
      <c r="N9" s="206">
        <v>96</v>
      </c>
      <c r="O9" s="230">
        <f t="shared" si="1"/>
        <v>977</v>
      </c>
      <c r="P9" s="226">
        <f t="shared" si="0"/>
        <v>81.416666666666671</v>
      </c>
    </row>
    <row r="10" spans="1:16" s="154" customFormat="1" ht="19.5" thickBot="1" x14ac:dyDescent="0.3">
      <c r="B10" s="160" t="s">
        <v>76</v>
      </c>
      <c r="C10" s="167">
        <v>105</v>
      </c>
      <c r="D10" s="167">
        <v>125</v>
      </c>
      <c r="E10" s="167">
        <v>100</v>
      </c>
      <c r="F10" s="167">
        <v>129</v>
      </c>
      <c r="G10" s="167">
        <v>145</v>
      </c>
      <c r="H10" s="167">
        <v>200</v>
      </c>
      <c r="I10" s="167">
        <v>186</v>
      </c>
      <c r="J10" s="167">
        <v>187</v>
      </c>
      <c r="K10" s="200">
        <v>235</v>
      </c>
      <c r="L10" s="207">
        <v>194</v>
      </c>
      <c r="M10" s="207">
        <v>196</v>
      </c>
      <c r="N10" s="208">
        <v>196</v>
      </c>
      <c r="O10" s="231">
        <f t="shared" si="1"/>
        <v>1998</v>
      </c>
      <c r="P10" s="227">
        <f t="shared" si="0"/>
        <v>166.5</v>
      </c>
    </row>
    <row r="11" spans="1:16" s="154" customFormat="1" ht="19.5" thickBot="1" x14ac:dyDescent="0.3">
      <c r="B11" s="161" t="s">
        <v>77</v>
      </c>
      <c r="C11" s="184">
        <f t="shared" ref="C11:K11" si="2">SUM(C6:C10)</f>
        <v>511</v>
      </c>
      <c r="D11" s="168">
        <f t="shared" si="2"/>
        <v>604</v>
      </c>
      <c r="E11" s="168">
        <f t="shared" si="2"/>
        <v>476</v>
      </c>
      <c r="F11" s="168">
        <f t="shared" si="2"/>
        <v>616</v>
      </c>
      <c r="G11" s="183">
        <f t="shared" si="2"/>
        <v>671</v>
      </c>
      <c r="H11" s="168">
        <f t="shared" si="2"/>
        <v>919</v>
      </c>
      <c r="I11" s="168">
        <f t="shared" si="2"/>
        <v>886</v>
      </c>
      <c r="J11" s="168">
        <f t="shared" si="2"/>
        <v>882</v>
      </c>
      <c r="K11" s="201">
        <f t="shared" si="2"/>
        <v>1105</v>
      </c>
      <c r="L11" s="183">
        <f>SUM(L6:L10)</f>
        <v>916</v>
      </c>
      <c r="M11" s="183">
        <f>SUM(M6:M10)</f>
        <v>921</v>
      </c>
      <c r="N11" s="209">
        <f>SUM(N6:N10)</f>
        <v>912</v>
      </c>
      <c r="O11" s="232">
        <f t="shared" si="1"/>
        <v>9419</v>
      </c>
      <c r="P11" s="228">
        <f t="shared" si="0"/>
        <v>784.91666666666663</v>
      </c>
    </row>
    <row r="12" spans="1:16" x14ac:dyDescent="0.3">
      <c r="A12" s="154"/>
      <c r="B12" s="162"/>
      <c r="C12" s="163"/>
      <c r="D12" s="154"/>
    </row>
    <row r="13" spans="1:16" x14ac:dyDescent="0.3">
      <c r="A13" s="154"/>
      <c r="B13" s="154"/>
      <c r="C13" s="155"/>
      <c r="D13" s="154"/>
    </row>
  </sheetData>
  <mergeCells count="2">
    <mergeCell ref="B4:C4"/>
    <mergeCell ref="B5:C5"/>
  </mergeCells>
  <printOptions horizontalCentered="1"/>
  <pageMargins left="0" right="0" top="0.74803149606299213" bottom="0" header="0.31496062992125984" footer="0.31496062992125984"/>
  <pageSetup paperSize="9" scale="6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8"/>
  <sheetViews>
    <sheetView topLeftCell="A2" zoomScaleNormal="100" workbookViewId="0">
      <pane xSplit="2" ySplit="2" topLeftCell="C4" activePane="bottomRight" state="frozen"/>
      <selection activeCell="A2" sqref="A2"/>
      <selection pane="topRight" activeCell="C2" sqref="C2"/>
      <selection pane="bottomLeft" activeCell="A4" sqref="A4"/>
      <selection pane="bottomRight" activeCell="I27" sqref="I27"/>
    </sheetView>
  </sheetViews>
  <sheetFormatPr defaultRowHeight="15" x14ac:dyDescent="0.25"/>
  <cols>
    <col min="1" max="1" width="26.28515625" customWidth="1"/>
    <col min="2" max="2" width="10.7109375" customWidth="1"/>
    <col min="3" max="6" width="13.7109375" style="1" customWidth="1"/>
    <col min="7" max="12" width="14.85546875" style="1" bestFit="1" customWidth="1"/>
    <col min="13" max="14" width="13.7109375" style="1" customWidth="1"/>
    <col min="15" max="15" width="15.5703125" customWidth="1"/>
    <col min="16" max="16" width="21.28515625" customWidth="1"/>
    <col min="17" max="17" width="18.5703125" customWidth="1"/>
    <col min="18" max="18" width="10.42578125" bestFit="1" customWidth="1"/>
  </cols>
  <sheetData>
    <row r="1" spans="1:18" ht="28.5" hidden="1" customHeight="1" x14ac:dyDescent="0.4">
      <c r="A1" s="371" t="s">
        <v>27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3"/>
    </row>
    <row r="2" spans="1:18" ht="30" customHeight="1" thickTop="1" thickBot="1" x14ac:dyDescent="0.3">
      <c r="A2" s="374" t="s">
        <v>139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6"/>
    </row>
    <row r="3" spans="1:18" ht="20.100000000000001" customHeight="1" thickBot="1" x14ac:dyDescent="0.3">
      <c r="A3" s="377" t="s">
        <v>18</v>
      </c>
      <c r="B3" s="378"/>
      <c r="C3" s="265" t="s">
        <v>0</v>
      </c>
      <c r="D3" s="266" t="s">
        <v>1</v>
      </c>
      <c r="E3" s="266" t="s">
        <v>2</v>
      </c>
      <c r="F3" s="266" t="s">
        <v>3</v>
      </c>
      <c r="G3" s="266" t="s">
        <v>4</v>
      </c>
      <c r="H3" s="266" t="s">
        <v>5</v>
      </c>
      <c r="I3" s="266" t="s">
        <v>6</v>
      </c>
      <c r="J3" s="52" t="s">
        <v>7</v>
      </c>
      <c r="K3" s="52" t="s">
        <v>8</v>
      </c>
      <c r="L3" s="52" t="s">
        <v>9</v>
      </c>
      <c r="M3" s="52" t="s">
        <v>10</v>
      </c>
      <c r="N3" s="53" t="s">
        <v>11</v>
      </c>
      <c r="O3" s="177" t="s">
        <v>21</v>
      </c>
      <c r="P3" s="235" t="s">
        <v>85</v>
      </c>
    </row>
    <row r="4" spans="1:18" ht="30" customHeight="1" thickTop="1" x14ac:dyDescent="0.25">
      <c r="A4" s="379" t="s">
        <v>52</v>
      </c>
      <c r="B4" s="380"/>
      <c r="C4" s="241">
        <f>37922+17120</f>
        <v>55042</v>
      </c>
      <c r="D4" s="56">
        <v>160041</v>
      </c>
      <c r="E4" s="56">
        <v>520686</v>
      </c>
      <c r="F4" s="56">
        <v>495898</v>
      </c>
      <c r="G4" s="56">
        <f>722091+69231</f>
        <v>791322</v>
      </c>
      <c r="H4" s="57">
        <f>1034649+114350</f>
        <v>1148999</v>
      </c>
      <c r="I4" s="57">
        <f>894725+98520</f>
        <v>993245</v>
      </c>
      <c r="J4" s="57">
        <f>723870+100931</f>
        <v>824801</v>
      </c>
      <c r="K4" s="57">
        <f>550750+74890</f>
        <v>625640</v>
      </c>
      <c r="L4" s="57">
        <v>775713</v>
      </c>
      <c r="M4" s="57">
        <v>80140</v>
      </c>
      <c r="N4" s="58">
        <v>40640</v>
      </c>
      <c r="O4" s="178">
        <f t="shared" ref="O4:O13" si="0">SUM(C4:N4)</f>
        <v>6512167</v>
      </c>
      <c r="P4" s="264">
        <f>SUM(O4)/12</f>
        <v>542680.58333333337</v>
      </c>
      <c r="Q4" s="105"/>
    </row>
    <row r="5" spans="1:18" ht="30" customHeight="1" x14ac:dyDescent="0.25">
      <c r="A5" s="381" t="s">
        <v>53</v>
      </c>
      <c r="B5" s="382"/>
      <c r="C5" s="242">
        <f>1465902+270800</f>
        <v>1736702</v>
      </c>
      <c r="D5" s="57">
        <f>1443360+592880</f>
        <v>2036240</v>
      </c>
      <c r="E5" s="57">
        <f>1508160+1080320</f>
        <v>2588480</v>
      </c>
      <c r="F5" s="57">
        <f>1526942+889440</f>
        <v>2416382</v>
      </c>
      <c r="G5" s="57">
        <f>1682520+971502</f>
        <v>2654022</v>
      </c>
      <c r="H5" s="57">
        <f>1467604+454462</f>
        <v>1922066</v>
      </c>
      <c r="I5" s="57">
        <f>1631298+554400</f>
        <v>2185698</v>
      </c>
      <c r="J5" s="57">
        <f>1481280+643040</f>
        <v>2124320</v>
      </c>
      <c r="K5" s="57">
        <f>1460880+499040</f>
        <v>1959920</v>
      </c>
      <c r="L5" s="57">
        <v>2069680</v>
      </c>
      <c r="M5" s="57">
        <v>2654597</v>
      </c>
      <c r="N5" s="58">
        <v>2229240</v>
      </c>
      <c r="O5" s="179">
        <f t="shared" si="0"/>
        <v>26577347</v>
      </c>
      <c r="P5" s="264">
        <f>SUM(O5)/12</f>
        <v>2214778.9166666665</v>
      </c>
      <c r="Q5" s="105"/>
    </row>
    <row r="6" spans="1:18" ht="30" customHeight="1" x14ac:dyDescent="0.25">
      <c r="A6" s="381" t="s">
        <v>135</v>
      </c>
      <c r="B6" s="382"/>
      <c r="C6" s="242">
        <v>4</v>
      </c>
      <c r="D6" s="57">
        <v>13</v>
      </c>
      <c r="E6" s="57">
        <v>2</v>
      </c>
      <c r="F6" s="57">
        <v>7</v>
      </c>
      <c r="G6" s="57">
        <v>3</v>
      </c>
      <c r="H6" s="57">
        <v>0</v>
      </c>
      <c r="I6" s="57">
        <v>0</v>
      </c>
      <c r="J6" s="57">
        <v>0</v>
      </c>
      <c r="K6" s="57">
        <v>0</v>
      </c>
      <c r="L6" s="57">
        <v>0</v>
      </c>
      <c r="M6" s="57">
        <v>0</v>
      </c>
      <c r="N6" s="58">
        <v>0</v>
      </c>
      <c r="O6" s="179">
        <f t="shared" si="0"/>
        <v>29</v>
      </c>
      <c r="P6" s="264">
        <f>SUM(O6)/5</f>
        <v>5.8</v>
      </c>
      <c r="Q6" s="105"/>
    </row>
    <row r="7" spans="1:18" ht="30" customHeight="1" x14ac:dyDescent="0.25">
      <c r="A7" s="356" t="s">
        <v>54</v>
      </c>
      <c r="B7" s="357"/>
      <c r="C7" s="243">
        <f>37922+17120</f>
        <v>55042</v>
      </c>
      <c r="D7" s="61">
        <f>160041</f>
        <v>160041</v>
      </c>
      <c r="E7" s="61">
        <v>581566</v>
      </c>
      <c r="F7" s="61">
        <v>519018</v>
      </c>
      <c r="G7" s="61">
        <f>1107678+109051</f>
        <v>1216729</v>
      </c>
      <c r="H7" s="61">
        <f>1189273+154170</f>
        <v>1343443</v>
      </c>
      <c r="I7" s="61">
        <f>1295032+98520</f>
        <v>1393552</v>
      </c>
      <c r="J7" s="61">
        <f>1429780+204524</f>
        <v>1634304</v>
      </c>
      <c r="K7" s="61">
        <f>1297647+74890</f>
        <v>1372537</v>
      </c>
      <c r="L7" s="61">
        <v>1607593</v>
      </c>
      <c r="M7" s="61">
        <v>282571</v>
      </c>
      <c r="N7" s="62">
        <v>61920</v>
      </c>
      <c r="O7" s="179">
        <f t="shared" si="0"/>
        <v>10228316</v>
      </c>
      <c r="P7" s="264">
        <f t="shared" ref="P7:P12" si="1">SUM(O7)/12</f>
        <v>852359.66666666663</v>
      </c>
      <c r="Q7" s="105"/>
    </row>
    <row r="8" spans="1:18" ht="30" customHeight="1" x14ac:dyDescent="0.25">
      <c r="A8" s="356" t="s">
        <v>55</v>
      </c>
      <c r="B8" s="357"/>
      <c r="C8" s="243">
        <f>1191100+447520</f>
        <v>1638620</v>
      </c>
      <c r="D8" s="61">
        <f>965160+290800</f>
        <v>1255960</v>
      </c>
      <c r="E8" s="61">
        <f>731920+388400</f>
        <v>1120320</v>
      </c>
      <c r="F8" s="61">
        <f>806560+236160</f>
        <v>1042720</v>
      </c>
      <c r="G8" s="61">
        <f>827080+267520</f>
        <v>1094600</v>
      </c>
      <c r="H8" s="61">
        <f>829778+297110</f>
        <v>1126888</v>
      </c>
      <c r="I8" s="61">
        <f>956520+219520</f>
        <v>1176040</v>
      </c>
      <c r="J8" s="61">
        <f>927840+305440</f>
        <v>1233280</v>
      </c>
      <c r="K8" s="61">
        <f>880640+308000</f>
        <v>1188640</v>
      </c>
      <c r="L8" s="61">
        <v>1197805</v>
      </c>
      <c r="M8" s="61">
        <v>851690</v>
      </c>
      <c r="N8" s="62">
        <v>1116460</v>
      </c>
      <c r="O8" s="179">
        <f t="shared" si="0"/>
        <v>14043023</v>
      </c>
      <c r="P8" s="264">
        <f t="shared" si="1"/>
        <v>1170251.9166666667</v>
      </c>
      <c r="Q8" s="105"/>
    </row>
    <row r="9" spans="1:18" ht="30" customHeight="1" x14ac:dyDescent="0.25">
      <c r="A9" s="356" t="s">
        <v>56</v>
      </c>
      <c r="B9" s="357"/>
      <c r="C9" s="243">
        <f>1615438+660861+74737+74737</f>
        <v>2425773</v>
      </c>
      <c r="D9" s="61">
        <f>1542009+587432</f>
        <v>2129441</v>
      </c>
      <c r="E9" s="61">
        <f>1395151+881148</f>
        <v>2276299</v>
      </c>
      <c r="F9" s="61">
        <f>1542009+660861</f>
        <v>2202870</v>
      </c>
      <c r="G9" s="61">
        <f>1542009+734290</f>
        <v>2276299</v>
      </c>
      <c r="H9" s="61">
        <f>1468580+734290</f>
        <v>2202870</v>
      </c>
      <c r="I9" s="61">
        <f>1688867+587432</f>
        <v>2276299</v>
      </c>
      <c r="J9" s="61">
        <f>1542009+734290</f>
        <v>2276299</v>
      </c>
      <c r="K9" s="61">
        <f>1542009+660861</f>
        <v>2202870</v>
      </c>
      <c r="L9" s="61">
        <v>2276299</v>
      </c>
      <c r="M9" s="61">
        <v>2202870</v>
      </c>
      <c r="N9" s="62">
        <v>2276299</v>
      </c>
      <c r="O9" s="179">
        <f t="shared" si="0"/>
        <v>27024488</v>
      </c>
      <c r="P9" s="264">
        <f t="shared" si="1"/>
        <v>2252040.6666666665</v>
      </c>
      <c r="Q9" s="105"/>
      <c r="R9" s="8"/>
    </row>
    <row r="10" spans="1:18" ht="30" customHeight="1" x14ac:dyDescent="0.25">
      <c r="A10" s="412" t="s">
        <v>100</v>
      </c>
      <c r="B10" s="413"/>
      <c r="C10" s="244">
        <f>911147+312788+21888+22061</f>
        <v>1267884</v>
      </c>
      <c r="D10" s="245">
        <f>260568+95506+204400+21578+270200+77973</f>
        <v>930225</v>
      </c>
      <c r="E10" s="245">
        <f>495152+200318+5430+159600+190466</f>
        <v>1050966</v>
      </c>
      <c r="F10" s="245">
        <f>509624+116966+245314+91318+647220+277380</f>
        <v>1887822</v>
      </c>
      <c r="G10" s="245">
        <f>534518+186068+22316+16290+287412+35108</f>
        <v>1081712</v>
      </c>
      <c r="H10" s="245">
        <f>509842+94272+6978+5430+225156+88054+616400+308200</f>
        <v>1854332</v>
      </c>
      <c r="I10" s="245">
        <f>622234+194364+6978+6836+245395+41998+708860+246560</f>
        <v>2073225</v>
      </c>
      <c r="J10" s="245">
        <f>736590+169684+107676+34890+647220+308200</f>
        <v>2004260</v>
      </c>
      <c r="K10" s="245">
        <f>765845+250246+2747+16721+15126+12408+647220+277380</f>
        <v>1987693</v>
      </c>
      <c r="L10" s="245">
        <v>1966131</v>
      </c>
      <c r="M10" s="245">
        <v>2098856</v>
      </c>
      <c r="N10" s="246">
        <v>2033717</v>
      </c>
      <c r="O10" s="179">
        <f t="shared" si="0"/>
        <v>20236823</v>
      </c>
      <c r="P10" s="264">
        <f t="shared" si="1"/>
        <v>1686401.9166666667</v>
      </c>
      <c r="Q10" s="105"/>
      <c r="R10" s="8"/>
    </row>
    <row r="11" spans="1:18" ht="30" customHeight="1" x14ac:dyDescent="0.25">
      <c r="A11" s="356" t="s">
        <v>57</v>
      </c>
      <c r="B11" s="357"/>
      <c r="C11" s="243">
        <v>76029</v>
      </c>
      <c r="D11" s="61">
        <v>60080</v>
      </c>
      <c r="E11" s="61">
        <v>107892</v>
      </c>
      <c r="F11" s="61">
        <v>79119</v>
      </c>
      <c r="G11" s="61">
        <v>93910</v>
      </c>
      <c r="H11" s="61">
        <v>93910</v>
      </c>
      <c r="I11" s="61">
        <v>75128</v>
      </c>
      <c r="J11" s="61">
        <v>103301</v>
      </c>
      <c r="K11" s="61">
        <v>84519</v>
      </c>
      <c r="L11" s="61">
        <v>104210</v>
      </c>
      <c r="M11" s="61">
        <v>122040</v>
      </c>
      <c r="N11" s="62">
        <v>134244</v>
      </c>
      <c r="O11" s="179">
        <f t="shared" si="0"/>
        <v>1134382</v>
      </c>
      <c r="P11" s="264">
        <f t="shared" si="1"/>
        <v>94531.833333333328</v>
      </c>
      <c r="Q11" s="105"/>
      <c r="R11" s="8"/>
    </row>
    <row r="12" spans="1:18" ht="30" customHeight="1" x14ac:dyDescent="0.25">
      <c r="A12" s="356" t="s">
        <v>58</v>
      </c>
      <c r="B12" s="357"/>
      <c r="C12" s="121">
        <f>320080+251280</f>
        <v>571360</v>
      </c>
      <c r="D12" s="61">
        <f>1047160+257893</f>
        <v>1305053</v>
      </c>
      <c r="E12" s="61">
        <f>831600+315106</f>
        <v>1146706</v>
      </c>
      <c r="F12" s="61">
        <f>1004034+219718</f>
        <v>1223752</v>
      </c>
      <c r="G12" s="61">
        <f>793202+179306</f>
        <v>972508</v>
      </c>
      <c r="H12" s="61">
        <f>750458+198880</f>
        <v>949338</v>
      </c>
      <c r="I12" s="61">
        <f>931449+222000</f>
        <v>1153449</v>
      </c>
      <c r="J12" s="61">
        <f>898942+205760</f>
        <v>1104702</v>
      </c>
      <c r="K12" s="61">
        <f>902320+244960</f>
        <v>1147280</v>
      </c>
      <c r="L12" s="61">
        <v>1038240</v>
      </c>
      <c r="M12" s="61">
        <v>889760</v>
      </c>
      <c r="N12" s="62">
        <v>968800</v>
      </c>
      <c r="O12" s="179">
        <f t="shared" si="0"/>
        <v>12470948</v>
      </c>
      <c r="P12" s="264">
        <f t="shared" si="1"/>
        <v>1039245.6666666666</v>
      </c>
      <c r="Q12" s="105"/>
      <c r="R12" s="8"/>
    </row>
    <row r="13" spans="1:18" ht="30" customHeight="1" x14ac:dyDescent="0.25">
      <c r="A13" s="414" t="s">
        <v>65</v>
      </c>
      <c r="B13" s="415"/>
      <c r="C13" s="247">
        <v>0</v>
      </c>
      <c r="D13" s="202">
        <v>0</v>
      </c>
      <c r="E13" s="202">
        <v>0</v>
      </c>
      <c r="F13" s="248">
        <v>0</v>
      </c>
      <c r="G13" s="249">
        <v>355810</v>
      </c>
      <c r="H13" s="202">
        <v>0</v>
      </c>
      <c r="I13" s="202">
        <v>0</v>
      </c>
      <c r="J13" s="202">
        <v>417641</v>
      </c>
      <c r="K13" s="202">
        <v>0</v>
      </c>
      <c r="L13" s="202">
        <v>0</v>
      </c>
      <c r="M13" s="202">
        <v>0</v>
      </c>
      <c r="N13" s="210">
        <v>0</v>
      </c>
      <c r="O13" s="219">
        <f t="shared" si="0"/>
        <v>773451</v>
      </c>
      <c r="P13" s="276">
        <f>SUM(O13)/2</f>
        <v>386725.5</v>
      </c>
      <c r="Q13" s="105"/>
      <c r="R13" s="8"/>
    </row>
    <row r="14" spans="1:18" ht="30" hidden="1" customHeight="1" x14ac:dyDescent="0.25">
      <c r="A14" s="356" t="s">
        <v>59</v>
      </c>
      <c r="B14" s="357"/>
      <c r="C14" s="250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8"/>
      <c r="O14" s="179">
        <f t="shared" ref="O14" si="2">SUM(C14:N14)</f>
        <v>0</v>
      </c>
      <c r="P14" s="264">
        <f>SUM(O14)/1</f>
        <v>0</v>
      </c>
      <c r="Q14" s="105"/>
    </row>
    <row r="15" spans="1:18" x14ac:dyDescent="0.25">
      <c r="A15" s="356" t="s">
        <v>136</v>
      </c>
      <c r="B15" s="357"/>
      <c r="C15" s="334">
        <v>339</v>
      </c>
      <c r="D15" s="329">
        <v>283</v>
      </c>
      <c r="E15" s="329">
        <v>298</v>
      </c>
      <c r="F15" s="329">
        <v>331.5</v>
      </c>
      <c r="G15" s="329">
        <v>375.5</v>
      </c>
      <c r="H15" s="329">
        <v>376.5</v>
      </c>
      <c r="I15" s="329">
        <v>526</v>
      </c>
      <c r="J15" s="330">
        <v>473</v>
      </c>
      <c r="K15" s="330">
        <v>512.5</v>
      </c>
      <c r="L15" s="331">
        <v>435</v>
      </c>
      <c r="M15" s="331">
        <v>491.5</v>
      </c>
      <c r="N15" s="332">
        <v>486.5</v>
      </c>
      <c r="O15" s="333">
        <f>SUM(C15:N15)</f>
        <v>4928</v>
      </c>
      <c r="P15" s="264">
        <f t="shared" ref="P15" si="3">SUM(O15)/12</f>
        <v>410.66666666666669</v>
      </c>
      <c r="Q15" s="105"/>
    </row>
    <row r="16" spans="1:18" ht="30" customHeight="1" thickBot="1" x14ac:dyDescent="0.3">
      <c r="A16" s="356" t="s">
        <v>60</v>
      </c>
      <c r="B16" s="357"/>
      <c r="C16" s="250">
        <v>0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7">
        <v>0</v>
      </c>
      <c r="J16" s="67">
        <v>0</v>
      </c>
      <c r="K16" s="67">
        <v>0</v>
      </c>
      <c r="L16" s="67">
        <v>0</v>
      </c>
      <c r="M16" s="67">
        <v>0</v>
      </c>
      <c r="N16" s="68">
        <v>0</v>
      </c>
      <c r="O16" s="179">
        <f>SUM(C16:N16)</f>
        <v>0</v>
      </c>
      <c r="P16" s="264">
        <f>SUM(O16)</f>
        <v>0</v>
      </c>
      <c r="Q16" s="105"/>
    </row>
    <row r="17" spans="1:17" ht="28.5" hidden="1" customHeight="1" x14ac:dyDescent="0.25">
      <c r="A17" s="398" t="s">
        <v>37</v>
      </c>
      <c r="B17" s="399"/>
      <c r="C17" s="65"/>
      <c r="D17" s="66"/>
      <c r="E17" s="67"/>
      <c r="F17" s="67"/>
      <c r="G17" s="67"/>
      <c r="H17" s="67"/>
      <c r="I17" s="67"/>
      <c r="J17" s="67"/>
      <c r="K17" s="67"/>
      <c r="L17" s="67"/>
      <c r="M17" s="67"/>
      <c r="N17" s="68"/>
      <c r="O17" s="140">
        <f>SUM(C17:N17)</f>
        <v>0</v>
      </c>
      <c r="P17" s="239">
        <f t="shared" ref="P17:P18" si="4">SUM(O17)/12</f>
        <v>0</v>
      </c>
    </row>
    <row r="18" spans="1:17" ht="30" hidden="1" customHeight="1" x14ac:dyDescent="0.25">
      <c r="A18" s="384" t="s">
        <v>66</v>
      </c>
      <c r="B18" s="385"/>
      <c r="C18" s="142"/>
      <c r="D18" s="143"/>
      <c r="E18" s="144"/>
      <c r="F18" s="144"/>
      <c r="G18" s="144"/>
      <c r="H18" s="144"/>
      <c r="I18" s="144"/>
      <c r="J18" s="144"/>
      <c r="K18" s="144"/>
      <c r="L18" s="144"/>
      <c r="M18" s="144"/>
      <c r="N18" s="145"/>
      <c r="O18" s="141"/>
      <c r="P18" s="239">
        <f t="shared" si="4"/>
        <v>0</v>
      </c>
    </row>
    <row r="19" spans="1:17" ht="30" customHeight="1" thickBot="1" x14ac:dyDescent="0.3">
      <c r="A19" s="364" t="s">
        <v>67</v>
      </c>
      <c r="B19" s="365"/>
      <c r="C19" s="335">
        <f t="shared" ref="C19:N19" si="5">SUM(C4:C5,C7:C12,C14,C16)</f>
        <v>7826452</v>
      </c>
      <c r="D19" s="335">
        <f t="shared" si="5"/>
        <v>8037081</v>
      </c>
      <c r="E19" s="335">
        <f t="shared" si="5"/>
        <v>9392915</v>
      </c>
      <c r="F19" s="335">
        <f t="shared" si="5"/>
        <v>9867581</v>
      </c>
      <c r="G19" s="335">
        <f t="shared" si="5"/>
        <v>10181102</v>
      </c>
      <c r="H19" s="335">
        <f t="shared" si="5"/>
        <v>10641846</v>
      </c>
      <c r="I19" s="335">
        <f t="shared" si="5"/>
        <v>11326636</v>
      </c>
      <c r="J19" s="335">
        <f t="shared" si="5"/>
        <v>11305267</v>
      </c>
      <c r="K19" s="335">
        <f t="shared" si="5"/>
        <v>10569099</v>
      </c>
      <c r="L19" s="335">
        <f t="shared" si="5"/>
        <v>11035671</v>
      </c>
      <c r="M19" s="335">
        <f t="shared" si="5"/>
        <v>9182524</v>
      </c>
      <c r="N19" s="335">
        <f t="shared" si="5"/>
        <v>8861320</v>
      </c>
      <c r="O19" s="336">
        <f>SUM(O4:O5,O7:O13,O16)</f>
        <v>119000945</v>
      </c>
      <c r="P19" s="263">
        <f>SUM(P4:P5,P7:P13)</f>
        <v>10239016.666666666</v>
      </c>
      <c r="Q19" s="7"/>
    </row>
    <row r="20" spans="1:17" ht="37.5" hidden="1" customHeight="1" x14ac:dyDescent="0.25">
      <c r="A20" s="366" t="s">
        <v>20</v>
      </c>
      <c r="B20" s="367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20">
        <f>SUM(C20:N20)</f>
        <v>0</v>
      </c>
    </row>
    <row r="21" spans="1:17" ht="19.5" hidden="1" customHeight="1" x14ac:dyDescent="0.25">
      <c r="A21" s="368" t="s">
        <v>22</v>
      </c>
      <c r="B21" s="369"/>
      <c r="C21" s="126" t="e">
        <f>SUM(C19)/C20</f>
        <v>#DIV/0!</v>
      </c>
      <c r="D21" s="126" t="e">
        <f t="shared" ref="D21:N21" si="6">SUM(D19)/D20</f>
        <v>#DIV/0!</v>
      </c>
      <c r="E21" s="126" t="e">
        <f t="shared" si="6"/>
        <v>#DIV/0!</v>
      </c>
      <c r="F21" s="126" t="e">
        <f t="shared" si="6"/>
        <v>#DIV/0!</v>
      </c>
      <c r="G21" s="126" t="e">
        <f t="shared" si="6"/>
        <v>#DIV/0!</v>
      </c>
      <c r="H21" s="126" t="e">
        <f t="shared" si="6"/>
        <v>#DIV/0!</v>
      </c>
      <c r="I21" s="126" t="e">
        <f t="shared" si="6"/>
        <v>#DIV/0!</v>
      </c>
      <c r="J21" s="126" t="e">
        <f t="shared" si="6"/>
        <v>#DIV/0!</v>
      </c>
      <c r="K21" s="126" t="e">
        <f t="shared" si="6"/>
        <v>#DIV/0!</v>
      </c>
      <c r="L21" s="126" t="e">
        <f t="shared" si="6"/>
        <v>#DIV/0!</v>
      </c>
      <c r="M21" s="126" t="e">
        <f t="shared" si="6"/>
        <v>#DIV/0!</v>
      </c>
      <c r="N21" s="126" t="e">
        <f t="shared" si="6"/>
        <v>#DIV/0!</v>
      </c>
      <c r="O21" s="127" t="e">
        <f>AVERAGE(C21:N21)</f>
        <v>#DIV/0!</v>
      </c>
      <c r="P21" s="118" t="e">
        <f>O19/O20</f>
        <v>#DIV/0!</v>
      </c>
    </row>
    <row r="22" spans="1:17" ht="16.5" thickTop="1" thickBot="1" x14ac:dyDescent="0.3">
      <c r="A22" s="370"/>
      <c r="B22" s="370"/>
      <c r="C22" s="370"/>
      <c r="D22" s="370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</row>
    <row r="23" spans="1:17" ht="16.5" thickBot="1" x14ac:dyDescent="0.3">
      <c r="A23" s="193" t="s">
        <v>82</v>
      </c>
      <c r="B23" s="194"/>
      <c r="C23" s="194"/>
      <c r="D23" s="195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</row>
    <row r="24" spans="1:17" ht="15.75" thickBot="1" x14ac:dyDescent="0.3">
      <c r="C24" s="7"/>
      <c r="D24" s="185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7" ht="15.75" thickBot="1" x14ac:dyDescent="0.3">
      <c r="A25" s="405" t="s">
        <v>83</v>
      </c>
      <c r="B25" s="406"/>
      <c r="C25" s="406"/>
      <c r="D25" s="406"/>
      <c r="E25" s="407"/>
      <c r="F25" s="197"/>
      <c r="G25" s="197"/>
      <c r="H25" s="7"/>
      <c r="I25" s="7"/>
      <c r="J25" s="7"/>
      <c r="K25" s="7"/>
      <c r="L25" s="7"/>
      <c r="M25" s="7"/>
      <c r="N25" s="7"/>
    </row>
    <row r="26" spans="1:17" x14ac:dyDescent="0.25"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7" x14ac:dyDescent="0.25"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7" x14ac:dyDescent="0.25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</sheetData>
  <mergeCells count="23">
    <mergeCell ref="A6:B6"/>
    <mergeCell ref="A1:O1"/>
    <mergeCell ref="A2:P2"/>
    <mergeCell ref="A3:B3"/>
    <mergeCell ref="A4:B4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E25"/>
    <mergeCell ref="A19:B19"/>
    <mergeCell ref="A20:B20"/>
    <mergeCell ref="A21:B21"/>
    <mergeCell ref="A22:O22"/>
  </mergeCells>
  <printOptions horizontalCentered="1"/>
  <pageMargins left="0" right="0" top="0.59055118110236227" bottom="0" header="0.31496062992125984" footer="0.31496062992125984"/>
  <pageSetup paperSize="8" scale="80" orientation="landscape" r:id="rId1"/>
  <ignoredErrors>
    <ignoredError sqref="P14 P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D14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O27" sqref="O27"/>
    </sheetView>
  </sheetViews>
  <sheetFormatPr defaultColWidth="9.140625" defaultRowHeight="18.75" x14ac:dyDescent="0.3"/>
  <cols>
    <col min="1" max="1" width="4.85546875" style="164" customWidth="1"/>
    <col min="2" max="2" width="80" style="164" bestFit="1" customWidth="1"/>
    <col min="3" max="18" width="15.7109375" style="164" customWidth="1"/>
    <col min="19" max="20" width="17.7109375" style="164" customWidth="1"/>
    <col min="21" max="26" width="15.7109375" style="164" customWidth="1"/>
    <col min="27" max="30" width="16.7109375" style="164" customWidth="1"/>
    <col min="31" max="16384" width="9.140625" style="164"/>
  </cols>
  <sheetData>
    <row r="1" spans="2:30" ht="19.5" thickBot="1" x14ac:dyDescent="0.35"/>
    <row r="2" spans="2:30" s="154" customFormat="1" ht="30" customHeight="1" thickBot="1" x14ac:dyDescent="0.3">
      <c r="B2" s="420" t="s">
        <v>140</v>
      </c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2"/>
    </row>
    <row r="3" spans="2:30" s="154" customFormat="1" ht="58.5" customHeight="1" thickBot="1" x14ac:dyDescent="0.3">
      <c r="B3" s="254" t="s">
        <v>124</v>
      </c>
      <c r="C3" s="310" t="s">
        <v>117</v>
      </c>
      <c r="D3" s="255" t="s">
        <v>101</v>
      </c>
      <c r="E3" s="311" t="s">
        <v>118</v>
      </c>
      <c r="F3" s="255" t="s">
        <v>102</v>
      </c>
      <c r="G3" s="312" t="s">
        <v>119</v>
      </c>
      <c r="H3" s="261" t="s">
        <v>103</v>
      </c>
      <c r="I3" s="306" t="s">
        <v>106</v>
      </c>
      <c r="J3" s="313" t="s">
        <v>120</v>
      </c>
      <c r="K3" s="306" t="s">
        <v>107</v>
      </c>
      <c r="L3" s="313" t="s">
        <v>121</v>
      </c>
      <c r="M3" s="221" t="s">
        <v>108</v>
      </c>
      <c r="N3" s="315" t="s">
        <v>122</v>
      </c>
      <c r="O3" s="224" t="s">
        <v>109</v>
      </c>
      <c r="P3" s="317" t="s">
        <v>123</v>
      </c>
      <c r="Q3" s="224" t="s">
        <v>110</v>
      </c>
      <c r="R3" s="318" t="s">
        <v>130</v>
      </c>
      <c r="S3" s="224" t="s">
        <v>111</v>
      </c>
      <c r="T3" s="318" t="s">
        <v>131</v>
      </c>
      <c r="U3" s="262" t="s">
        <v>112</v>
      </c>
      <c r="V3" s="321" t="s">
        <v>132</v>
      </c>
      <c r="W3" s="262" t="s">
        <v>113</v>
      </c>
      <c r="X3" s="321" t="s">
        <v>133</v>
      </c>
      <c r="Y3" s="262" t="s">
        <v>114</v>
      </c>
      <c r="Z3" s="321" t="s">
        <v>134</v>
      </c>
      <c r="AA3" s="353" t="s">
        <v>105</v>
      </c>
      <c r="AB3" s="353" t="s">
        <v>137</v>
      </c>
      <c r="AC3" s="354" t="s">
        <v>104</v>
      </c>
      <c r="AD3" s="354" t="s">
        <v>138</v>
      </c>
    </row>
    <row r="4" spans="2:30" customFormat="1" ht="16.5" hidden="1" thickBot="1" x14ac:dyDescent="0.3">
      <c r="B4" s="416" t="s">
        <v>71</v>
      </c>
      <c r="C4" s="417"/>
      <c r="D4" s="256"/>
      <c r="E4" s="259"/>
      <c r="F4" s="260"/>
      <c r="L4" s="314"/>
      <c r="N4" s="314"/>
      <c r="P4" s="314"/>
      <c r="R4" s="314"/>
      <c r="T4" s="314"/>
      <c r="V4" s="314"/>
      <c r="X4" s="314"/>
      <c r="Z4" s="314"/>
      <c r="AC4" s="268"/>
    </row>
    <row r="5" spans="2:30" customFormat="1" ht="16.5" hidden="1" thickBot="1" x14ac:dyDescent="0.3">
      <c r="B5" s="418"/>
      <c r="C5" s="419"/>
      <c r="D5" s="257"/>
      <c r="E5" s="279"/>
      <c r="F5" s="280"/>
      <c r="L5" s="314"/>
      <c r="N5" s="314"/>
      <c r="P5" s="314"/>
      <c r="R5" s="314"/>
      <c r="T5" s="314"/>
      <c r="V5" s="314"/>
      <c r="X5" s="314"/>
      <c r="Z5" s="314"/>
      <c r="AC5" s="268"/>
    </row>
    <row r="6" spans="2:30" s="154" customFormat="1" x14ac:dyDescent="0.25">
      <c r="B6" s="267" t="s">
        <v>125</v>
      </c>
      <c r="C6" s="294">
        <f>SUM(D6)/175.8112</f>
        <v>102.38255583262044</v>
      </c>
      <c r="D6" s="290">
        <v>18000</v>
      </c>
      <c r="E6" s="294">
        <f>SUM(F6)/188.1979</f>
        <v>89.267733593201626</v>
      </c>
      <c r="F6" s="290">
        <v>16800</v>
      </c>
      <c r="G6" s="300">
        <f>SUM(H6)/181.9463</f>
        <v>90.686098041015399</v>
      </c>
      <c r="H6" s="303">
        <v>16500</v>
      </c>
      <c r="I6" s="251">
        <v>70</v>
      </c>
      <c r="J6" s="307">
        <v>15783</v>
      </c>
      <c r="K6" s="251">
        <v>80</v>
      </c>
      <c r="L6" s="307">
        <f>K6*225.477</f>
        <v>18038.16</v>
      </c>
      <c r="M6" s="251">
        <v>80</v>
      </c>
      <c r="N6" s="307">
        <v>18038.07</v>
      </c>
      <c r="O6" s="271">
        <v>112</v>
      </c>
      <c r="P6" s="307">
        <f>O6*225.477</f>
        <v>25253.423999999999</v>
      </c>
      <c r="Q6" s="251">
        <v>100</v>
      </c>
      <c r="R6" s="307">
        <f>Q6*225.477</f>
        <v>22547.7</v>
      </c>
      <c r="S6" s="271">
        <v>109</v>
      </c>
      <c r="T6" s="307">
        <f>S6*225.477</f>
        <v>24576.993000000002</v>
      </c>
      <c r="U6" s="322">
        <v>92.55</v>
      </c>
      <c r="V6" s="307">
        <f>U6*225.477</f>
        <v>20867.896349999999</v>
      </c>
      <c r="W6" s="325">
        <v>104</v>
      </c>
      <c r="X6" s="269">
        <f>W6*225.477</f>
        <v>23449.608</v>
      </c>
      <c r="Y6" s="285">
        <v>103</v>
      </c>
      <c r="Z6" s="308">
        <f>Y6*225.477</f>
        <v>23224.131000000001</v>
      </c>
      <c r="AA6" s="345">
        <f>SUM(C6,E6,G6,I6,K6,M6,O6,Q6,S6,U6,W6,Y6)</f>
        <v>1132.8863874668373</v>
      </c>
      <c r="AB6" s="346">
        <f t="shared" ref="AB6:AB11" si="0">SUM(AA6)/12</f>
        <v>94.407198955569768</v>
      </c>
      <c r="AC6" s="337">
        <f>SUM(D6,F6,H6,J6,L6,N6,P6,R6,T6,V6,X6,Z6)</f>
        <v>243078.98235000001</v>
      </c>
      <c r="AD6" s="338">
        <f>AC6/12</f>
        <v>20256.581862499999</v>
      </c>
    </row>
    <row r="7" spans="2:30" s="154" customFormat="1" x14ac:dyDescent="0.25">
      <c r="B7" s="277" t="s">
        <v>126</v>
      </c>
      <c r="C7" s="295">
        <f>SUM(D7)/175.8112</f>
        <v>88.16275641142316</v>
      </c>
      <c r="D7" s="291">
        <v>15500</v>
      </c>
      <c r="E7" s="295">
        <f t="shared" ref="E7:E10" si="1">SUM(F7)/188.1979</f>
        <v>76.834013557005676</v>
      </c>
      <c r="F7" s="291">
        <v>14460</v>
      </c>
      <c r="G7" s="301">
        <f t="shared" ref="G7:G10" si="2">SUM(H7)/181.9463</f>
        <v>80.243456448413625</v>
      </c>
      <c r="H7" s="304">
        <v>14600</v>
      </c>
      <c r="I7" s="252">
        <v>51</v>
      </c>
      <c r="J7" s="308">
        <v>11499</v>
      </c>
      <c r="K7" s="252">
        <v>78.5</v>
      </c>
      <c r="L7" s="308">
        <f t="shared" ref="L7:L9" si="3">K7*225.477</f>
        <v>17699.944500000001</v>
      </c>
      <c r="M7" s="252">
        <v>78</v>
      </c>
      <c r="N7" s="308">
        <f t="shared" ref="N7:N10" si="4">M7*225.477</f>
        <v>17587.206000000002</v>
      </c>
      <c r="O7" s="272">
        <v>110</v>
      </c>
      <c r="P7" s="308">
        <f t="shared" ref="P7:P10" si="5">O7*225.477</f>
        <v>24802.47</v>
      </c>
      <c r="Q7" s="252">
        <v>99</v>
      </c>
      <c r="R7" s="308">
        <f t="shared" ref="R7:R10" si="6">Q7*225.477</f>
        <v>22322.223000000002</v>
      </c>
      <c r="S7" s="272">
        <v>107</v>
      </c>
      <c r="T7" s="308">
        <f t="shared" ref="T7:T10" si="7">S7*225.477</f>
        <v>24126.039000000001</v>
      </c>
      <c r="U7" s="323">
        <v>91</v>
      </c>
      <c r="V7" s="308">
        <f t="shared" ref="V7:V10" si="8">U7*225.477</f>
        <v>20518.406999999999</v>
      </c>
      <c r="W7" s="326">
        <v>100</v>
      </c>
      <c r="X7" s="270">
        <v>22547.75</v>
      </c>
      <c r="Y7" s="286">
        <v>99</v>
      </c>
      <c r="Z7" s="308">
        <f t="shared" ref="Z7:Z10" si="9">Y7*225.477</f>
        <v>22322.223000000002</v>
      </c>
      <c r="AA7" s="347">
        <f t="shared" ref="AA7:AA10" si="10">SUM(C7,E7,G7,I7,K7,M7,O7,Q7,S7,U7,W7,Y7)</f>
        <v>1058.7402264168425</v>
      </c>
      <c r="AB7" s="348">
        <f t="shared" si="0"/>
        <v>88.228352201403538</v>
      </c>
      <c r="AC7" s="339">
        <f t="shared" ref="AC7:AC10" si="11">SUM(D7,F7,H7,J7,L7,N7,P7,R7,T7,V7,X7,Z7)</f>
        <v>227985.26250000001</v>
      </c>
      <c r="AD7" s="340">
        <f t="shared" ref="AD7:AD10" si="12">AC7/12</f>
        <v>18998.771875000002</v>
      </c>
    </row>
    <row r="8" spans="2:30" s="154" customFormat="1" x14ac:dyDescent="0.25">
      <c r="B8" s="277" t="s">
        <v>127</v>
      </c>
      <c r="C8" s="295">
        <f>SUM(D8)/175.8112</f>
        <v>9.1006716295662606</v>
      </c>
      <c r="D8" s="291">
        <v>1600</v>
      </c>
      <c r="E8" s="295">
        <f t="shared" si="1"/>
        <v>10.627111142047813</v>
      </c>
      <c r="F8" s="291">
        <v>2000</v>
      </c>
      <c r="G8" s="301">
        <f t="shared" si="2"/>
        <v>16.488381462002799</v>
      </c>
      <c r="H8" s="304">
        <v>3000</v>
      </c>
      <c r="I8" s="252">
        <v>100</v>
      </c>
      <c r="J8" s="308">
        <v>22547.79</v>
      </c>
      <c r="K8" s="252">
        <v>105</v>
      </c>
      <c r="L8" s="308">
        <f>K8*225.477-0.9</f>
        <v>23674.184999999998</v>
      </c>
      <c r="M8" s="252">
        <v>106</v>
      </c>
      <c r="N8" s="308">
        <f t="shared" si="4"/>
        <v>23900.562000000002</v>
      </c>
      <c r="O8" s="272">
        <v>150</v>
      </c>
      <c r="P8" s="308">
        <f>O8*225.477+0.1</f>
        <v>33821.65</v>
      </c>
      <c r="Q8" s="252">
        <v>135</v>
      </c>
      <c r="R8" s="308">
        <f>Q8*225.477+0.28</f>
        <v>30439.674999999999</v>
      </c>
      <c r="S8" s="272">
        <v>146</v>
      </c>
      <c r="T8" s="308">
        <v>32919.68</v>
      </c>
      <c r="U8" s="323">
        <v>123.67</v>
      </c>
      <c r="V8" s="308">
        <v>27884.7</v>
      </c>
      <c r="W8" s="326">
        <v>140</v>
      </c>
      <c r="X8" s="270">
        <f t="shared" ref="X8:X10" si="13">W8*225.477</f>
        <v>31566.78</v>
      </c>
      <c r="Y8" s="286">
        <v>139</v>
      </c>
      <c r="Z8" s="308">
        <f t="shared" si="9"/>
        <v>31341.303</v>
      </c>
      <c r="AA8" s="347">
        <f t="shared" si="10"/>
        <v>1180.8861642336169</v>
      </c>
      <c r="AB8" s="348">
        <f t="shared" si="0"/>
        <v>98.407180352801404</v>
      </c>
      <c r="AC8" s="339">
        <f t="shared" si="11"/>
        <v>264696.32500000001</v>
      </c>
      <c r="AD8" s="340">
        <f t="shared" si="12"/>
        <v>22058.027083333334</v>
      </c>
    </row>
    <row r="9" spans="2:30" s="154" customFormat="1" ht="18.75" customHeight="1" x14ac:dyDescent="0.25">
      <c r="B9" s="277" t="s">
        <v>128</v>
      </c>
      <c r="C9" s="295">
        <f>SUM(D9)/175.8112</f>
        <v>28.439598842394567</v>
      </c>
      <c r="D9" s="291">
        <v>5000</v>
      </c>
      <c r="E9" s="295">
        <f t="shared" si="1"/>
        <v>18.59744449858367</v>
      </c>
      <c r="F9" s="291">
        <v>3500</v>
      </c>
      <c r="G9" s="301">
        <f t="shared" si="2"/>
        <v>19.236445039003264</v>
      </c>
      <c r="H9" s="304">
        <v>3500</v>
      </c>
      <c r="I9" s="252">
        <v>35</v>
      </c>
      <c r="J9" s="308">
        <f t="shared" ref="J9:J10" si="14">I9*225.477</f>
        <v>7891.6949999999997</v>
      </c>
      <c r="K9" s="252">
        <v>35</v>
      </c>
      <c r="L9" s="308">
        <f t="shared" si="3"/>
        <v>7891.6949999999997</v>
      </c>
      <c r="M9" s="252">
        <v>35</v>
      </c>
      <c r="N9" s="308">
        <f t="shared" si="4"/>
        <v>7891.6949999999997</v>
      </c>
      <c r="O9" s="272">
        <v>49</v>
      </c>
      <c r="P9" s="308">
        <f t="shared" si="5"/>
        <v>11048.373</v>
      </c>
      <c r="Q9" s="252">
        <v>44</v>
      </c>
      <c r="R9" s="308">
        <f>Q9*225.477+0.1</f>
        <v>9921.0879999999997</v>
      </c>
      <c r="S9" s="272">
        <v>48</v>
      </c>
      <c r="T9" s="308">
        <f t="shared" si="7"/>
        <v>10822.896000000001</v>
      </c>
      <c r="U9" s="323">
        <v>40.777999999999999</v>
      </c>
      <c r="V9" s="308">
        <f t="shared" si="8"/>
        <v>9194.5011059999997</v>
      </c>
      <c r="W9" s="326">
        <v>48</v>
      </c>
      <c r="X9" s="270">
        <f t="shared" si="13"/>
        <v>10822.896000000001</v>
      </c>
      <c r="Y9" s="286">
        <v>47.5</v>
      </c>
      <c r="Z9" s="308">
        <f t="shared" si="9"/>
        <v>10710.157499999999</v>
      </c>
      <c r="AA9" s="347">
        <f t="shared" si="10"/>
        <v>448.55148837998149</v>
      </c>
      <c r="AB9" s="348">
        <f t="shared" si="0"/>
        <v>37.379290698331793</v>
      </c>
      <c r="AC9" s="339">
        <f t="shared" si="11"/>
        <v>98194.996606000001</v>
      </c>
      <c r="AD9" s="340">
        <f t="shared" si="12"/>
        <v>8182.9163838333334</v>
      </c>
    </row>
    <row r="10" spans="2:30" s="154" customFormat="1" ht="19.5" thickBot="1" x14ac:dyDescent="0.3">
      <c r="B10" s="278" t="s">
        <v>129</v>
      </c>
      <c r="C10" s="296">
        <f>SUM(D10)/175.8112</f>
        <v>110.91443548533881</v>
      </c>
      <c r="D10" s="292">
        <v>19500</v>
      </c>
      <c r="E10" s="296">
        <f t="shared" si="1"/>
        <v>87.673666921894451</v>
      </c>
      <c r="F10" s="292">
        <v>16500</v>
      </c>
      <c r="G10" s="302">
        <f t="shared" si="2"/>
        <v>91.345633299495503</v>
      </c>
      <c r="H10" s="305">
        <v>16620</v>
      </c>
      <c r="I10" s="274">
        <v>75.5</v>
      </c>
      <c r="J10" s="309">
        <f t="shared" si="14"/>
        <v>17023.513500000001</v>
      </c>
      <c r="K10" s="274">
        <v>77</v>
      </c>
      <c r="L10" s="309">
        <f>K10*225.477-0.71</f>
        <v>17361.019</v>
      </c>
      <c r="M10" s="274">
        <v>77.5</v>
      </c>
      <c r="N10" s="309">
        <f t="shared" si="4"/>
        <v>17474.467499999999</v>
      </c>
      <c r="O10" s="273">
        <v>105</v>
      </c>
      <c r="P10" s="309">
        <f t="shared" si="5"/>
        <v>23675.084999999999</v>
      </c>
      <c r="Q10" s="274">
        <v>95</v>
      </c>
      <c r="R10" s="309">
        <f t="shared" si="6"/>
        <v>21420.314999999999</v>
      </c>
      <c r="S10" s="273">
        <v>102.5</v>
      </c>
      <c r="T10" s="309">
        <f t="shared" si="7"/>
        <v>23111.392500000002</v>
      </c>
      <c r="U10" s="324">
        <v>87</v>
      </c>
      <c r="V10" s="309">
        <f t="shared" si="8"/>
        <v>19616.499</v>
      </c>
      <c r="W10" s="327">
        <v>99.5</v>
      </c>
      <c r="X10" s="284">
        <f t="shared" si="13"/>
        <v>22434.961500000001</v>
      </c>
      <c r="Y10" s="287">
        <v>98</v>
      </c>
      <c r="Z10" s="308">
        <f t="shared" si="9"/>
        <v>22096.745999999999</v>
      </c>
      <c r="AA10" s="349">
        <f t="shared" si="10"/>
        <v>1106.9337357067288</v>
      </c>
      <c r="AB10" s="350">
        <f t="shared" si="0"/>
        <v>92.244477975560741</v>
      </c>
      <c r="AC10" s="341">
        <f t="shared" si="11"/>
        <v>236833.99900000001</v>
      </c>
      <c r="AD10" s="342">
        <f t="shared" si="12"/>
        <v>19736.166583333335</v>
      </c>
    </row>
    <row r="11" spans="2:30" s="154" customFormat="1" ht="19.5" thickBot="1" x14ac:dyDescent="0.3">
      <c r="B11" s="253" t="s">
        <v>77</v>
      </c>
      <c r="C11" s="297">
        <f t="shared" ref="C11:S11" si="15">SUM(C6:C10)</f>
        <v>339.00001820134321</v>
      </c>
      <c r="D11" s="293">
        <f>SUM(D6:D10)</f>
        <v>59600</v>
      </c>
      <c r="E11" s="299">
        <f t="shared" si="15"/>
        <v>282.99996971273322</v>
      </c>
      <c r="F11" s="293">
        <f>SUM(F6:F10)</f>
        <v>53260</v>
      </c>
      <c r="G11" s="299">
        <f t="shared" si="15"/>
        <v>298.00001428993056</v>
      </c>
      <c r="H11" s="293">
        <f>SUM(H6:H10)</f>
        <v>54220</v>
      </c>
      <c r="I11" s="258">
        <f t="shared" si="15"/>
        <v>331.5</v>
      </c>
      <c r="J11" s="298">
        <f>SUM(J6:J10)</f>
        <v>74744.998500000002</v>
      </c>
      <c r="K11" s="289">
        <f t="shared" si="15"/>
        <v>375.5</v>
      </c>
      <c r="L11" s="298">
        <f>SUM(L6:L10)</f>
        <v>84665.003499999992</v>
      </c>
      <c r="M11" s="258">
        <f t="shared" si="15"/>
        <v>376.5</v>
      </c>
      <c r="N11" s="298">
        <f>SUM(N6:N10)</f>
        <v>84892.000499999995</v>
      </c>
      <c r="O11" s="316">
        <f>SUM(O6:O10)</f>
        <v>526</v>
      </c>
      <c r="P11" s="298">
        <f>SUM(P6:P10)</f>
        <v>118601.00199999998</v>
      </c>
      <c r="Q11" s="275">
        <f t="shared" si="15"/>
        <v>473</v>
      </c>
      <c r="R11" s="319">
        <f>SUM(R6:R10)</f>
        <v>106651.001</v>
      </c>
      <c r="S11" s="281">
        <f t="shared" si="15"/>
        <v>512.5</v>
      </c>
      <c r="T11" s="320">
        <f>SUM(T6:T10)</f>
        <v>115557.00050000001</v>
      </c>
      <c r="U11" s="282">
        <f t="shared" ref="U11:AC11" si="16">SUM(U6:U10)</f>
        <v>434.99800000000005</v>
      </c>
      <c r="V11" s="320">
        <f t="shared" si="16"/>
        <v>98082.003455999991</v>
      </c>
      <c r="W11" s="283">
        <f t="shared" si="16"/>
        <v>491.5</v>
      </c>
      <c r="X11" s="320">
        <f t="shared" si="16"/>
        <v>110821.99550000002</v>
      </c>
      <c r="Y11" s="288">
        <f t="shared" si="16"/>
        <v>486.5</v>
      </c>
      <c r="Z11" s="328">
        <f t="shared" si="16"/>
        <v>109694.56050000001</v>
      </c>
      <c r="AA11" s="351">
        <f t="shared" ref="AA11" si="17">SUM(C11,E11,G11,I11,K11,M11,O11,Q11,S11,U11,W11)+Y11</f>
        <v>4927.9980022040072</v>
      </c>
      <c r="AB11" s="352">
        <f t="shared" si="0"/>
        <v>410.66650018366727</v>
      </c>
      <c r="AC11" s="343">
        <f t="shared" si="16"/>
        <v>1070789.5654560002</v>
      </c>
      <c r="AD11" s="344">
        <f>SUM(AD6:AD10)</f>
        <v>89232.463788000008</v>
      </c>
    </row>
    <row r="13" spans="2:30" x14ac:dyDescent="0.3">
      <c r="B13" s="164" t="s">
        <v>115</v>
      </c>
    </row>
    <row r="14" spans="2:30" x14ac:dyDescent="0.3">
      <c r="B14" s="355" t="s">
        <v>116</v>
      </c>
    </row>
  </sheetData>
  <mergeCells count="3">
    <mergeCell ref="B2:AD2"/>
    <mergeCell ref="B4:C4"/>
    <mergeCell ref="B5:C5"/>
  </mergeCells>
  <printOptions horizontalCentered="1" gridLines="1"/>
  <pageMargins left="0" right="0" top="0.59055118110236227" bottom="0" header="0.31496062992125984" footer="0.31496062992125984"/>
  <pageSetup paperSize="8" scale="38" orientation="landscape" r:id="rId1"/>
  <ignoredErrors>
    <ignoredError sqref="L8 P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7"/>
  <sheetViews>
    <sheetView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34" sqref="J34"/>
    </sheetView>
  </sheetViews>
  <sheetFormatPr defaultRowHeight="15" x14ac:dyDescent="0.25"/>
  <cols>
    <col min="1" max="1" width="13.7109375" customWidth="1"/>
    <col min="2" max="13" width="11.42578125" customWidth="1"/>
  </cols>
  <sheetData>
    <row r="1" spans="1:13" ht="24.95" customHeight="1" thickTop="1" thickBot="1" x14ac:dyDescent="0.3">
      <c r="A1" s="423" t="s">
        <v>51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5"/>
    </row>
    <row r="2" spans="1:13" x14ac:dyDescent="0.25">
      <c r="A2" s="426" t="s">
        <v>16</v>
      </c>
      <c r="B2" s="428" t="s">
        <v>13</v>
      </c>
      <c r="C2" s="429"/>
      <c r="D2" s="428" t="s">
        <v>14</v>
      </c>
      <c r="E2" s="429"/>
      <c r="F2" s="428" t="s">
        <v>28</v>
      </c>
      <c r="G2" s="429"/>
      <c r="H2" s="428" t="s">
        <v>29</v>
      </c>
      <c r="I2" s="429"/>
      <c r="J2" s="428" t="s">
        <v>35</v>
      </c>
      <c r="K2" s="429"/>
      <c r="L2" s="430" t="s">
        <v>17</v>
      </c>
      <c r="M2" s="431"/>
    </row>
    <row r="3" spans="1:13" ht="32.25" customHeight="1" thickBot="1" x14ac:dyDescent="0.3">
      <c r="A3" s="427"/>
      <c r="B3" s="14" t="s">
        <v>30</v>
      </c>
      <c r="C3" s="15" t="s">
        <v>15</v>
      </c>
      <c r="D3" s="14" t="s">
        <v>30</v>
      </c>
      <c r="E3" s="15" t="s">
        <v>15</v>
      </c>
      <c r="F3" s="14" t="s">
        <v>30</v>
      </c>
      <c r="G3" s="15" t="s">
        <v>15</v>
      </c>
      <c r="H3" s="14" t="s">
        <v>30</v>
      </c>
      <c r="I3" s="15" t="s">
        <v>15</v>
      </c>
      <c r="J3" s="14" t="s">
        <v>30</v>
      </c>
      <c r="K3" s="15" t="s">
        <v>15</v>
      </c>
      <c r="L3" s="14" t="s">
        <v>30</v>
      </c>
      <c r="M3" s="106" t="s">
        <v>15</v>
      </c>
    </row>
    <row r="4" spans="1:13" ht="18" customHeight="1" x14ac:dyDescent="0.25">
      <c r="A4" s="107" t="s">
        <v>0</v>
      </c>
      <c r="B4" s="25">
        <v>0</v>
      </c>
      <c r="C4" s="26">
        <v>0</v>
      </c>
      <c r="D4" s="27">
        <v>0</v>
      </c>
      <c r="E4" s="28">
        <v>0</v>
      </c>
      <c r="F4" s="122">
        <v>0</v>
      </c>
      <c r="G4" s="123">
        <v>0</v>
      </c>
      <c r="H4" s="122">
        <v>0</v>
      </c>
      <c r="I4" s="123">
        <v>0</v>
      </c>
      <c r="J4" s="122">
        <v>0</v>
      </c>
      <c r="K4" s="123">
        <v>0</v>
      </c>
      <c r="L4" s="11" t="e">
        <f>SUM(B4,D4,#REF!,F4,H4,J4)</f>
        <v>#REF!</v>
      </c>
      <c r="M4" s="108" t="e">
        <f>SUM(C4,E4,#REF!,G4,I4,K4)</f>
        <v>#REF!</v>
      </c>
    </row>
    <row r="5" spans="1:13" ht="18" customHeight="1" x14ac:dyDescent="0.25">
      <c r="A5" s="109" t="s">
        <v>1</v>
      </c>
      <c r="B5" s="29">
        <v>0</v>
      </c>
      <c r="C5" s="30">
        <v>0</v>
      </c>
      <c r="D5" s="31">
        <v>0</v>
      </c>
      <c r="E5" s="32">
        <v>0</v>
      </c>
      <c r="F5" s="124">
        <v>0</v>
      </c>
      <c r="G5" s="125">
        <v>0</v>
      </c>
      <c r="H5" s="124">
        <v>0</v>
      </c>
      <c r="I5" s="125">
        <v>0</v>
      </c>
      <c r="J5" s="124">
        <v>0</v>
      </c>
      <c r="K5" s="125">
        <v>0</v>
      </c>
      <c r="L5" s="11" t="e">
        <f>SUM(B5,D5,#REF!,F5,H5,J5)</f>
        <v>#REF!</v>
      </c>
      <c r="M5" s="110" t="e">
        <f>SUM(C5,E5,#REF!,G5,I5,K5)</f>
        <v>#REF!</v>
      </c>
    </row>
    <row r="6" spans="1:13" ht="18" customHeight="1" x14ac:dyDescent="0.25">
      <c r="A6" s="109" t="s">
        <v>2</v>
      </c>
      <c r="B6" s="33">
        <v>0</v>
      </c>
      <c r="C6" s="34">
        <v>0</v>
      </c>
      <c r="D6" s="35">
        <v>0</v>
      </c>
      <c r="E6" s="36">
        <v>0</v>
      </c>
      <c r="F6" s="37">
        <v>0</v>
      </c>
      <c r="G6" s="38">
        <v>0</v>
      </c>
      <c r="H6" s="37">
        <v>0</v>
      </c>
      <c r="I6" s="38">
        <v>0</v>
      </c>
      <c r="J6" s="37">
        <v>0</v>
      </c>
      <c r="K6" s="38">
        <v>0</v>
      </c>
      <c r="L6" s="11" t="e">
        <f>SUM(B6,D6,#REF!,F6,H6,J6)</f>
        <v>#REF!</v>
      </c>
      <c r="M6" s="110" t="e">
        <f>SUM(C6,E6,#REF!,G6,I6,K6)</f>
        <v>#REF!</v>
      </c>
    </row>
    <row r="7" spans="1:13" ht="18" customHeight="1" x14ac:dyDescent="0.25">
      <c r="A7" s="109" t="s">
        <v>3</v>
      </c>
      <c r="B7" s="33">
        <v>0</v>
      </c>
      <c r="C7" s="34">
        <v>0</v>
      </c>
      <c r="D7" s="35">
        <v>0</v>
      </c>
      <c r="E7" s="36">
        <v>0</v>
      </c>
      <c r="F7" s="37">
        <v>0</v>
      </c>
      <c r="G7" s="38">
        <v>0</v>
      </c>
      <c r="H7" s="37">
        <v>0</v>
      </c>
      <c r="I7" s="38">
        <v>0</v>
      </c>
      <c r="J7" s="37">
        <v>0</v>
      </c>
      <c r="K7" s="38">
        <v>0</v>
      </c>
      <c r="L7" s="11" t="e">
        <f>SUM(B7,D7,#REF!,F7,H7,J7)</f>
        <v>#REF!</v>
      </c>
      <c r="M7" s="110" t="e">
        <f>SUM(C7,E7,#REF!,G7,I7,K7)</f>
        <v>#REF!</v>
      </c>
    </row>
    <row r="8" spans="1:13" ht="18" customHeight="1" x14ac:dyDescent="0.25">
      <c r="A8" s="109" t="s">
        <v>4</v>
      </c>
      <c r="B8" s="33">
        <v>0</v>
      </c>
      <c r="C8" s="34">
        <v>0</v>
      </c>
      <c r="D8" s="35">
        <v>0</v>
      </c>
      <c r="E8" s="36">
        <v>0</v>
      </c>
      <c r="F8" s="37">
        <v>0</v>
      </c>
      <c r="G8" s="38">
        <v>0</v>
      </c>
      <c r="H8" s="37">
        <v>0</v>
      </c>
      <c r="I8" s="38">
        <v>0</v>
      </c>
      <c r="J8" s="37">
        <v>0</v>
      </c>
      <c r="K8" s="38">
        <v>0</v>
      </c>
      <c r="L8" s="11" t="e">
        <f>SUM(B8,D8,#REF!,F8,H8,J8)</f>
        <v>#REF!</v>
      </c>
      <c r="M8" s="110" t="e">
        <f>SUM(C8,E8,#REF!,G8,I8,K8)</f>
        <v>#REF!</v>
      </c>
    </row>
    <row r="9" spans="1:13" ht="18" customHeight="1" x14ac:dyDescent="0.25">
      <c r="A9" s="109" t="s">
        <v>5</v>
      </c>
      <c r="B9" s="33">
        <v>0</v>
      </c>
      <c r="C9" s="34">
        <v>0</v>
      </c>
      <c r="D9" s="35">
        <v>0</v>
      </c>
      <c r="E9" s="36">
        <v>0</v>
      </c>
      <c r="F9" s="37">
        <v>0</v>
      </c>
      <c r="G9" s="38">
        <v>0</v>
      </c>
      <c r="H9" s="37">
        <v>0</v>
      </c>
      <c r="I9" s="38">
        <v>0</v>
      </c>
      <c r="J9" s="37">
        <v>0</v>
      </c>
      <c r="K9" s="38">
        <v>0</v>
      </c>
      <c r="L9" s="11" t="e">
        <f>SUM(B9,D9,#REF!,F9,H9,J9)</f>
        <v>#REF!</v>
      </c>
      <c r="M9" s="110" t="e">
        <f>SUM(C9,E9,#REF!,G9,I9,K9)</f>
        <v>#REF!</v>
      </c>
    </row>
    <row r="10" spans="1:13" ht="18" customHeight="1" x14ac:dyDescent="0.25">
      <c r="A10" s="109" t="s">
        <v>6</v>
      </c>
      <c r="B10" s="33">
        <v>0</v>
      </c>
      <c r="C10" s="34">
        <v>0</v>
      </c>
      <c r="D10" s="35">
        <v>0</v>
      </c>
      <c r="E10" s="36">
        <v>0</v>
      </c>
      <c r="F10" s="37">
        <v>0</v>
      </c>
      <c r="G10" s="38">
        <v>0</v>
      </c>
      <c r="H10" s="37">
        <v>0</v>
      </c>
      <c r="I10" s="38">
        <v>0</v>
      </c>
      <c r="J10" s="37">
        <v>0</v>
      </c>
      <c r="K10" s="38">
        <v>0</v>
      </c>
      <c r="L10" s="11" t="e">
        <f>SUM(B10,D10,#REF!,F10,H10,J10)</f>
        <v>#REF!</v>
      </c>
      <c r="M10" s="110" t="e">
        <f>SUM(C10,E10,#REF!,G10,I10,K10)</f>
        <v>#REF!</v>
      </c>
    </row>
    <row r="11" spans="1:13" ht="18" customHeight="1" x14ac:dyDescent="0.25">
      <c r="A11" s="109" t="s">
        <v>7</v>
      </c>
      <c r="B11" s="33">
        <v>0</v>
      </c>
      <c r="C11" s="34">
        <v>0</v>
      </c>
      <c r="D11" s="35">
        <v>0</v>
      </c>
      <c r="E11" s="36">
        <v>0</v>
      </c>
      <c r="F11" s="37">
        <v>0</v>
      </c>
      <c r="G11" s="38">
        <v>0</v>
      </c>
      <c r="H11" s="37">
        <v>0</v>
      </c>
      <c r="I11" s="38">
        <v>0</v>
      </c>
      <c r="J11" s="37">
        <v>0</v>
      </c>
      <c r="K11" s="38">
        <v>0</v>
      </c>
      <c r="L11" s="11" t="e">
        <f>SUM(B11,D11,#REF!,F11,H11,J11)</f>
        <v>#REF!</v>
      </c>
      <c r="M11" s="110" t="e">
        <f>SUM(C11,E11,#REF!,G11,I11,K11)</f>
        <v>#REF!</v>
      </c>
    </row>
    <row r="12" spans="1:13" ht="18" customHeight="1" x14ac:dyDescent="0.25">
      <c r="A12" s="109" t="s">
        <v>8</v>
      </c>
      <c r="B12" s="33">
        <v>0</v>
      </c>
      <c r="C12" s="34">
        <v>0</v>
      </c>
      <c r="D12" s="35">
        <v>0</v>
      </c>
      <c r="E12" s="36">
        <v>0</v>
      </c>
      <c r="F12" s="37">
        <v>0</v>
      </c>
      <c r="G12" s="38">
        <v>0</v>
      </c>
      <c r="H12" s="37">
        <v>0</v>
      </c>
      <c r="I12" s="38">
        <v>0</v>
      </c>
      <c r="J12" s="37">
        <v>0</v>
      </c>
      <c r="K12" s="38">
        <v>0</v>
      </c>
      <c r="L12" s="11" t="e">
        <f>SUM(B12,D12,#REF!,F12,H12,J12)</f>
        <v>#REF!</v>
      </c>
      <c r="M12" s="110" t="e">
        <f>SUM(C12,E12,#REF!,G12,I12,K12)</f>
        <v>#REF!</v>
      </c>
    </row>
    <row r="13" spans="1:13" ht="18" customHeight="1" x14ac:dyDescent="0.25">
      <c r="A13" s="109" t="s">
        <v>9</v>
      </c>
      <c r="B13" s="33">
        <v>0</v>
      </c>
      <c r="C13" s="34">
        <v>0</v>
      </c>
      <c r="D13" s="35">
        <v>0</v>
      </c>
      <c r="E13" s="36">
        <v>0</v>
      </c>
      <c r="F13" s="37">
        <v>0</v>
      </c>
      <c r="G13" s="38">
        <v>0</v>
      </c>
      <c r="H13" s="37">
        <v>0</v>
      </c>
      <c r="I13" s="38">
        <v>0</v>
      </c>
      <c r="J13" s="37">
        <v>0</v>
      </c>
      <c r="K13" s="38">
        <v>0</v>
      </c>
      <c r="L13" s="11" t="e">
        <f>SUM(B13,D13,#REF!,F13,H13,J13)</f>
        <v>#REF!</v>
      </c>
      <c r="M13" s="110" t="e">
        <f>SUM(C13,E13,#REF!,G13,I13,K13)</f>
        <v>#REF!</v>
      </c>
    </row>
    <row r="14" spans="1:13" ht="18" customHeight="1" x14ac:dyDescent="0.25">
      <c r="A14" s="109" t="s">
        <v>10</v>
      </c>
      <c r="B14" s="37">
        <v>0</v>
      </c>
      <c r="C14" s="38">
        <v>0</v>
      </c>
      <c r="D14" s="39">
        <v>0</v>
      </c>
      <c r="E14" s="40">
        <v>0</v>
      </c>
      <c r="F14" s="37">
        <v>0</v>
      </c>
      <c r="G14" s="38">
        <v>0</v>
      </c>
      <c r="H14" s="37">
        <v>0</v>
      </c>
      <c r="I14" s="38">
        <v>0</v>
      </c>
      <c r="J14" s="37">
        <v>0</v>
      </c>
      <c r="K14" s="38">
        <v>0</v>
      </c>
      <c r="L14" s="11" t="e">
        <f>SUM(B14,D14,#REF!,F14,H14,J14)</f>
        <v>#REF!</v>
      </c>
      <c r="M14" s="110" t="e">
        <f>SUM(C14,E14,#REF!,G14,I14,K14)</f>
        <v>#REF!</v>
      </c>
    </row>
    <row r="15" spans="1:13" ht="18" customHeight="1" thickBot="1" x14ac:dyDescent="0.3">
      <c r="A15" s="111" t="s">
        <v>11</v>
      </c>
      <c r="B15" s="112">
        <v>0</v>
      </c>
      <c r="C15" s="113">
        <v>71200</v>
      </c>
      <c r="D15" s="114">
        <v>0</v>
      </c>
      <c r="E15" s="115">
        <v>0</v>
      </c>
      <c r="F15" s="112">
        <v>0</v>
      </c>
      <c r="G15" s="113">
        <v>0</v>
      </c>
      <c r="H15" s="112">
        <v>0</v>
      </c>
      <c r="I15" s="113">
        <v>0</v>
      </c>
      <c r="J15" s="112">
        <v>0</v>
      </c>
      <c r="K15" s="113">
        <v>0</v>
      </c>
      <c r="L15" s="116" t="e">
        <f>SUM(B15,D15,#REF!,F15,H15,J15)</f>
        <v>#REF!</v>
      </c>
      <c r="M15" s="117" t="e">
        <f>SUM(C15,E15,#REF!,G15,I15,K15)</f>
        <v>#REF!</v>
      </c>
    </row>
    <row r="16" spans="1:13" ht="20.100000000000001" customHeight="1" thickTop="1" thickBot="1" x14ac:dyDescent="0.3">
      <c r="A16" s="2" t="s">
        <v>21</v>
      </c>
      <c r="B16" s="4">
        <f>SUM(B4:B15)</f>
        <v>0</v>
      </c>
      <c r="C16" s="4">
        <f t="shared" ref="C16:I16" si="0">SUM(C4:C15)</f>
        <v>71200</v>
      </c>
      <c r="D16" s="4">
        <f t="shared" si="0"/>
        <v>0</v>
      </c>
      <c r="E16" s="9">
        <f t="shared" si="0"/>
        <v>0</v>
      </c>
      <c r="F16" s="12">
        <f t="shared" si="0"/>
        <v>0</v>
      </c>
      <c r="G16" s="13">
        <f t="shared" si="0"/>
        <v>0</v>
      </c>
      <c r="H16" s="12">
        <f t="shared" si="0"/>
        <v>0</v>
      </c>
      <c r="I16" s="13">
        <f t="shared" si="0"/>
        <v>0</v>
      </c>
      <c r="J16" s="12">
        <f t="shared" ref="J16:K16" si="1">SUM(J4:J15)</f>
        <v>0</v>
      </c>
      <c r="K16" s="13">
        <f t="shared" si="1"/>
        <v>0</v>
      </c>
      <c r="L16" s="10" t="e">
        <f>SUM(L4:L15)</f>
        <v>#REF!</v>
      </c>
      <c r="M16" s="5" t="e">
        <f>SUM(M4:M15)</f>
        <v>#REF!</v>
      </c>
    </row>
    <row r="17" spans="12:13" ht="15.75" thickTop="1" x14ac:dyDescent="0.25">
      <c r="L17" s="7" t="e">
        <f>SUM(B16,D16,#REF!,F16,H16,J16)</f>
        <v>#REF!</v>
      </c>
      <c r="M17" s="7" t="e">
        <f>SUM(C16,E16,#REF!,G16,I16,K16)</f>
        <v>#REF!</v>
      </c>
    </row>
  </sheetData>
  <mergeCells count="8">
    <mergeCell ref="A1:M1"/>
    <mergeCell ref="A2:A3"/>
    <mergeCell ref="F2:G2"/>
    <mergeCell ref="B2:C2"/>
    <mergeCell ref="D2:E2"/>
    <mergeCell ref="L2:M2"/>
    <mergeCell ref="H2:I2"/>
    <mergeCell ref="J2:K2"/>
  </mergeCells>
  <printOptions horizontalCentered="1"/>
  <pageMargins left="0" right="0" top="0.74803149606299213" bottom="0.74803149606299213" header="0.31496062992125984" footer="0.31496062992125984"/>
  <pageSetup paperSize="9" scale="8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7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3" sqref="J23"/>
    </sheetView>
  </sheetViews>
  <sheetFormatPr defaultRowHeight="15" x14ac:dyDescent="0.25"/>
  <cols>
    <col min="1" max="1" width="13.7109375" customWidth="1"/>
    <col min="2" max="13" width="11.42578125" customWidth="1"/>
  </cols>
  <sheetData>
    <row r="1" spans="1:13" ht="24.95" customHeight="1" thickBot="1" x14ac:dyDescent="0.3">
      <c r="A1" s="432" t="s">
        <v>50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4"/>
    </row>
    <row r="2" spans="1:13" ht="15.75" thickTop="1" x14ac:dyDescent="0.25">
      <c r="A2" s="435" t="s">
        <v>16</v>
      </c>
      <c r="B2" s="437" t="s">
        <v>19</v>
      </c>
      <c r="C2" s="438"/>
      <c r="D2" s="441" t="s">
        <v>31</v>
      </c>
      <c r="E2" s="438"/>
      <c r="F2" s="437" t="s">
        <v>32</v>
      </c>
      <c r="G2" s="438"/>
      <c r="H2" s="437" t="s">
        <v>33</v>
      </c>
      <c r="I2" s="438"/>
      <c r="J2" s="437" t="s">
        <v>34</v>
      </c>
      <c r="K2" s="438"/>
      <c r="L2" s="439" t="s">
        <v>17</v>
      </c>
      <c r="M2" s="440"/>
    </row>
    <row r="3" spans="1:13" ht="32.25" customHeight="1" thickBot="1" x14ac:dyDescent="0.3">
      <c r="A3" s="436"/>
      <c r="B3" s="16" t="s">
        <v>30</v>
      </c>
      <c r="C3" s="3" t="s">
        <v>15</v>
      </c>
      <c r="D3" s="16" t="s">
        <v>30</v>
      </c>
      <c r="E3" s="3" t="s">
        <v>15</v>
      </c>
      <c r="F3" s="16" t="s">
        <v>30</v>
      </c>
      <c r="G3" s="3" t="s">
        <v>15</v>
      </c>
      <c r="H3" s="16" t="s">
        <v>30</v>
      </c>
      <c r="I3" s="3" t="s">
        <v>15</v>
      </c>
      <c r="J3" s="16" t="s">
        <v>30</v>
      </c>
      <c r="K3" s="3" t="s">
        <v>15</v>
      </c>
      <c r="L3" s="16" t="s">
        <v>30</v>
      </c>
      <c r="M3" s="3" t="s">
        <v>15</v>
      </c>
    </row>
    <row r="4" spans="1:13" ht="18" customHeight="1" thickTop="1" x14ac:dyDescent="0.25">
      <c r="A4" s="21" t="s">
        <v>0</v>
      </c>
      <c r="B4" s="47"/>
      <c r="C4" s="48"/>
      <c r="D4" s="47"/>
      <c r="E4" s="48"/>
      <c r="F4" s="47"/>
      <c r="G4" s="48"/>
      <c r="H4" s="47"/>
      <c r="I4" s="48"/>
      <c r="J4" s="47"/>
      <c r="K4" s="48"/>
      <c r="L4" s="41" t="e">
        <f>SUM(B4,#REF!,#REF!,#REF!,D4,F4,H4,J4)</f>
        <v>#REF!</v>
      </c>
      <c r="M4" s="42" t="e">
        <f>SUM(C4,#REF!,#REF!,#REF!,E4,G4,I4,K4)</f>
        <v>#REF!</v>
      </c>
    </row>
    <row r="5" spans="1:13" ht="18" customHeight="1" x14ac:dyDescent="0.25">
      <c r="A5" s="22" t="s">
        <v>1</v>
      </c>
      <c r="B5" s="49"/>
      <c r="C5" s="50"/>
      <c r="D5" s="49"/>
      <c r="E5" s="50"/>
      <c r="F5" s="49"/>
      <c r="G5" s="50"/>
      <c r="H5" s="49"/>
      <c r="I5" s="50"/>
      <c r="J5" s="49"/>
      <c r="K5" s="50"/>
      <c r="L5" s="41" t="e">
        <f>SUM(B5,#REF!,#REF!,#REF!,D5,F5,H5,J5)</f>
        <v>#REF!</v>
      </c>
      <c r="M5" s="42" t="e">
        <f>SUM(C5,#REF!,#REF!,#REF!,E5,G5,I5,K5)</f>
        <v>#REF!</v>
      </c>
    </row>
    <row r="6" spans="1:13" ht="18" customHeight="1" x14ac:dyDescent="0.25">
      <c r="A6" s="22" t="s">
        <v>2</v>
      </c>
      <c r="B6" s="17"/>
      <c r="C6" s="18"/>
      <c r="D6" s="49"/>
      <c r="E6" s="50"/>
      <c r="F6" s="49"/>
      <c r="G6" s="50"/>
      <c r="H6" s="49"/>
      <c r="I6" s="50"/>
      <c r="J6" s="49"/>
      <c r="K6" s="50"/>
      <c r="L6" s="41" t="e">
        <f>SUM(B6,#REF!,#REF!,#REF!,D6,F6,H6,J6)</f>
        <v>#REF!</v>
      </c>
      <c r="M6" s="42" t="e">
        <f>SUM(C6,#REF!,#REF!,#REF!,E6,G6,I6,K6)</f>
        <v>#REF!</v>
      </c>
    </row>
    <row r="7" spans="1:13" ht="18" customHeight="1" x14ac:dyDescent="0.25">
      <c r="A7" s="22" t="s">
        <v>3</v>
      </c>
      <c r="B7" s="17"/>
      <c r="C7" s="18"/>
      <c r="D7" s="49"/>
      <c r="E7" s="50"/>
      <c r="F7" s="49"/>
      <c r="G7" s="50"/>
      <c r="H7" s="49"/>
      <c r="I7" s="50"/>
      <c r="J7" s="49"/>
      <c r="K7" s="50"/>
      <c r="L7" s="41" t="e">
        <f>SUM(B7,#REF!,#REF!,#REF!,D7,F7,H7,J7)</f>
        <v>#REF!</v>
      </c>
      <c r="M7" s="42" t="e">
        <f>SUM(C7,#REF!,#REF!,#REF!,E7,G7,I7,K7)</f>
        <v>#REF!</v>
      </c>
    </row>
    <row r="8" spans="1:13" ht="18" customHeight="1" x14ac:dyDescent="0.25">
      <c r="A8" s="22" t="s">
        <v>4</v>
      </c>
      <c r="B8" s="17"/>
      <c r="C8" s="18"/>
      <c r="D8" s="49"/>
      <c r="E8" s="50"/>
      <c r="F8" s="49"/>
      <c r="G8" s="50"/>
      <c r="H8" s="49"/>
      <c r="I8" s="50"/>
      <c r="J8" s="49"/>
      <c r="K8" s="50"/>
      <c r="L8" s="41" t="e">
        <f>SUM(B8,#REF!,#REF!,#REF!,D8,F8,H8,J8)</f>
        <v>#REF!</v>
      </c>
      <c r="M8" s="42" t="e">
        <f>SUM(C8,#REF!,#REF!,#REF!,E8,G8,I8,K8)</f>
        <v>#REF!</v>
      </c>
    </row>
    <row r="9" spans="1:13" ht="18" customHeight="1" x14ac:dyDescent="0.25">
      <c r="A9" s="22" t="s">
        <v>5</v>
      </c>
      <c r="B9" s="17"/>
      <c r="C9" s="18"/>
      <c r="D9" s="49"/>
      <c r="E9" s="50"/>
      <c r="F9" s="49"/>
      <c r="G9" s="50"/>
      <c r="H9" s="49"/>
      <c r="I9" s="50"/>
      <c r="J9" s="49"/>
      <c r="K9" s="50"/>
      <c r="L9" s="41" t="e">
        <f>SUM(B9,#REF!,#REF!,#REF!,D9,F9,H9,J9)</f>
        <v>#REF!</v>
      </c>
      <c r="M9" s="42" t="e">
        <f>SUM(C9,#REF!,#REF!,#REF!,E9,G9,I9,K9)</f>
        <v>#REF!</v>
      </c>
    </row>
    <row r="10" spans="1:13" ht="18" customHeight="1" x14ac:dyDescent="0.25">
      <c r="A10" s="22" t="s">
        <v>6</v>
      </c>
      <c r="B10" s="19"/>
      <c r="C10" s="20"/>
      <c r="D10" s="49"/>
      <c r="E10" s="50"/>
      <c r="F10" s="49"/>
      <c r="G10" s="50"/>
      <c r="H10" s="49"/>
      <c r="I10" s="50"/>
      <c r="J10" s="49"/>
      <c r="K10" s="50"/>
      <c r="L10" s="41" t="e">
        <f>SUM(B10,#REF!,#REF!,#REF!,D10,F10,H10,J10)</f>
        <v>#REF!</v>
      </c>
      <c r="M10" s="42" t="e">
        <f>SUM(C10,#REF!,#REF!,#REF!,E10,G10,I10,K10)</f>
        <v>#REF!</v>
      </c>
    </row>
    <row r="11" spans="1:13" ht="18" customHeight="1" x14ac:dyDescent="0.25">
      <c r="A11" s="22" t="s">
        <v>7</v>
      </c>
      <c r="B11" s="19"/>
      <c r="C11" s="20"/>
      <c r="D11" s="17"/>
      <c r="E11" s="18"/>
      <c r="F11" s="17"/>
      <c r="G11" s="18"/>
      <c r="H11" s="17"/>
      <c r="I11" s="18"/>
      <c r="J11" s="17"/>
      <c r="K11" s="18"/>
      <c r="L11" s="41" t="e">
        <f>SUM(B11,#REF!,#REF!,#REF!,D11,F11,H11,J11)</f>
        <v>#REF!</v>
      </c>
      <c r="M11" s="42" t="e">
        <f>SUM(C11,#REF!,#REF!,#REF!,E11,G11,I11,K11)</f>
        <v>#REF!</v>
      </c>
    </row>
    <row r="12" spans="1:13" ht="18.600000000000001" customHeight="1" x14ac:dyDescent="0.25">
      <c r="A12" s="22" t="s">
        <v>8</v>
      </c>
      <c r="B12" s="19"/>
      <c r="C12" s="20"/>
      <c r="D12" s="17"/>
      <c r="E12" s="18"/>
      <c r="F12" s="17"/>
      <c r="G12" s="18"/>
      <c r="H12" s="17"/>
      <c r="I12" s="18"/>
      <c r="J12" s="17"/>
      <c r="K12" s="18"/>
      <c r="L12" s="41" t="e">
        <f>SUM(B12,#REF!,#REF!,#REF!,D12,F12,H12,J12)</f>
        <v>#REF!</v>
      </c>
      <c r="M12" s="42" t="e">
        <f>SUM(C12,#REF!,#REF!,#REF!,E12,G12,I12,K12)</f>
        <v>#REF!</v>
      </c>
    </row>
    <row r="13" spans="1:13" ht="18" customHeight="1" x14ac:dyDescent="0.25">
      <c r="A13" s="22" t="s">
        <v>9</v>
      </c>
      <c r="B13" s="19"/>
      <c r="C13" s="20"/>
      <c r="D13" s="17"/>
      <c r="E13" s="18"/>
      <c r="F13" s="17"/>
      <c r="G13" s="18"/>
      <c r="H13" s="17"/>
      <c r="I13" s="18"/>
      <c r="J13" s="17"/>
      <c r="K13" s="18"/>
      <c r="L13" s="41" t="e">
        <f>SUM(B13,#REF!,#REF!,#REF!,D13,F13,H13,J13)</f>
        <v>#REF!</v>
      </c>
      <c r="M13" s="42" t="e">
        <f>SUM(C13,#REF!,#REF!,#REF!,E13,G13,I13,K13)</f>
        <v>#REF!</v>
      </c>
    </row>
    <row r="14" spans="1:13" ht="18" customHeight="1" x14ac:dyDescent="0.25">
      <c r="A14" s="22" t="s">
        <v>10</v>
      </c>
      <c r="B14" s="19"/>
      <c r="C14" s="20"/>
      <c r="D14" s="17"/>
      <c r="E14" s="18"/>
      <c r="F14" s="17"/>
      <c r="G14" s="18"/>
      <c r="H14" s="17"/>
      <c r="I14" s="18"/>
      <c r="J14" s="17"/>
      <c r="K14" s="18"/>
      <c r="L14" s="41" t="e">
        <f>SUM(B14,#REF!,#REF!,#REF!,D14,F14,H14,J14)</f>
        <v>#REF!</v>
      </c>
      <c r="M14" s="42" t="e">
        <f>SUM(C14,#REF!,#REF!,#REF!,E14,G14,I14,K14)</f>
        <v>#REF!</v>
      </c>
    </row>
    <row r="15" spans="1:13" ht="18" customHeight="1" thickBot="1" x14ac:dyDescent="0.3">
      <c r="A15" s="23" t="s">
        <v>11</v>
      </c>
      <c r="B15" s="43"/>
      <c r="C15" s="44"/>
      <c r="D15" s="45"/>
      <c r="E15" s="46"/>
      <c r="F15" s="45"/>
      <c r="G15" s="46"/>
      <c r="H15" s="45"/>
      <c r="I15" s="46"/>
      <c r="J15" s="45"/>
      <c r="K15" s="46"/>
      <c r="L15" s="41" t="e">
        <f>SUM(B15,#REF!,#REF!,#REF!,D15,F15,H15,J15)</f>
        <v>#REF!</v>
      </c>
      <c r="M15" s="42" t="e">
        <f>SUM(C15,#REF!,#REF!,#REF!,E15,G15,I15,K15)</f>
        <v>#REF!</v>
      </c>
    </row>
    <row r="16" spans="1:13" ht="20.100000000000001" customHeight="1" thickTop="1" thickBot="1" x14ac:dyDescent="0.3">
      <c r="A16" s="24" t="s">
        <v>21</v>
      </c>
      <c r="B16" s="6">
        <f t="shared" ref="B16:M16" si="0">SUM(B4:B15)</f>
        <v>0</v>
      </c>
      <c r="C16" s="6">
        <f t="shared" si="0"/>
        <v>0</v>
      </c>
      <c r="D16" s="6">
        <f t="shared" si="0"/>
        <v>0</v>
      </c>
      <c r="E16" s="5">
        <f t="shared" si="0"/>
        <v>0</v>
      </c>
      <c r="F16" s="6">
        <f t="shared" si="0"/>
        <v>0</v>
      </c>
      <c r="G16" s="5">
        <f t="shared" si="0"/>
        <v>0</v>
      </c>
      <c r="H16" s="6">
        <f t="shared" si="0"/>
        <v>0</v>
      </c>
      <c r="I16" s="5">
        <f t="shared" si="0"/>
        <v>0</v>
      </c>
      <c r="J16" s="6">
        <f t="shared" si="0"/>
        <v>0</v>
      </c>
      <c r="K16" s="5">
        <f t="shared" si="0"/>
        <v>0</v>
      </c>
      <c r="L16" s="10" t="e">
        <f t="shared" si="0"/>
        <v>#REF!</v>
      </c>
      <c r="M16" s="5" t="e">
        <f t="shared" si="0"/>
        <v>#REF!</v>
      </c>
    </row>
    <row r="17" spans="12:13" ht="15.75" thickTop="1" x14ac:dyDescent="0.25">
      <c r="L17" s="7" t="e">
        <f>SUM(B16,#REF!,#REF!,#REF!,D16,F16,H16,J16)</f>
        <v>#REF!</v>
      </c>
      <c r="M17" s="7" t="e">
        <f>SUM(C16,#REF!,#REF!,#REF!,E16,G16,I16,K16)</f>
        <v>#REF!</v>
      </c>
    </row>
  </sheetData>
  <mergeCells count="8">
    <mergeCell ref="A1:M1"/>
    <mergeCell ref="A2:A3"/>
    <mergeCell ref="B2:C2"/>
    <mergeCell ref="L2:M2"/>
    <mergeCell ref="D2:E2"/>
    <mergeCell ref="F2:G2"/>
    <mergeCell ref="H2:I2"/>
    <mergeCell ref="J2:K2"/>
  </mergeCells>
  <printOptions horizontalCentered="1" gridLines="1"/>
  <pageMargins left="0" right="0" top="0.59055118110236227" bottom="0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7</vt:i4>
      </vt:variant>
    </vt:vector>
  </HeadingPairs>
  <TitlesOfParts>
    <vt:vector size="14" baseType="lpstr">
      <vt:lpstr>Takarított terület 2021.</vt:lpstr>
      <vt:lpstr>TAKARÍTOTT terület 2022.</vt:lpstr>
      <vt:lpstr>HULLADÉK (bontásban) 2022.</vt:lpstr>
      <vt:lpstr>TAKARÍTOTT terület 2024.</vt:lpstr>
      <vt:lpstr>HULLADÉK (bontásban) 2024.</vt:lpstr>
      <vt:lpstr>Gépek üzemeltetése 2020.</vt:lpstr>
      <vt:lpstr>Mosók üzemeltetése 2020.</vt:lpstr>
      <vt:lpstr>'Gépek üzemeltetése 2020.'!Nyomtatási_terület</vt:lpstr>
      <vt:lpstr>'HULLADÉK (bontásban) 2022.'!Nyomtatási_terület</vt:lpstr>
      <vt:lpstr>'HULLADÉK (bontásban) 2024.'!Nyomtatási_terület</vt:lpstr>
      <vt:lpstr>'Mosók üzemeltetése 2020.'!Nyomtatási_terület</vt:lpstr>
      <vt:lpstr>'Takarított terület 2021.'!Nyomtatási_terület</vt:lpstr>
      <vt:lpstr>'TAKARÍTOTT terület 2022.'!Nyomtatási_terület</vt:lpstr>
      <vt:lpstr>'TAKARÍTOTT terület 2024.'!Nyomtatási_terület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Bakró-Nagy Zsolt</dc:creator>
  <cp:lastModifiedBy>Józsa Ágnes</cp:lastModifiedBy>
  <cp:lastPrinted>2025-01-31T15:41:58Z</cp:lastPrinted>
  <dcterms:created xsi:type="dcterms:W3CDTF">2015-01-12T14:06:46Z</dcterms:created>
  <dcterms:modified xsi:type="dcterms:W3CDTF">2025-01-31T15:43:29Z</dcterms:modified>
</cp:coreProperties>
</file>